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765" windowWidth="17445" windowHeight="7305" tabRatio="900" activeTab="0"/>
  </bookViews>
  <sheets>
    <sheet name="1 Cover" sheetId="1" r:id="rId1"/>
    <sheet name="2 Table of Contents" sheetId="2" r:id="rId2"/>
    <sheet name="1 Financial Highlights" sheetId="3" r:id="rId3"/>
    <sheet name="2 Consolidated IS" sheetId="4" r:id="rId4"/>
    <sheet name="3 Canaccord Genuity " sheetId="5" r:id="rId5"/>
    <sheet name="4 Capital Markets Canada" sheetId="6" r:id="rId6"/>
    <sheet name="5 CG - UK" sheetId="7" r:id="rId7"/>
    <sheet name="6 CG - US" sheetId="8" r:id="rId8"/>
    <sheet name="7 CG Other Foreign Loc" sheetId="9" r:id="rId9"/>
    <sheet name="8 CWM Canada" sheetId="10" r:id="rId10"/>
    <sheet name="9 CWM UK and Europe" sheetId="11" r:id="rId11"/>
    <sheet name="CWM BGF" sheetId="12" state="hidden" r:id="rId12"/>
    <sheet name="10 Other" sheetId="13" r:id="rId13"/>
    <sheet name="7 Canada" sheetId="14" state="hidden" r:id="rId14"/>
    <sheet name="8 UK and Europe" sheetId="15" state="hidden" r:id="rId15"/>
    <sheet name="9 US" sheetId="16" state="hidden" r:id="rId16"/>
    <sheet name="11 Balance Sheet" sheetId="17" r:id="rId17"/>
    <sheet name="12 Misc Operating Stats" sheetId="18" r:id="rId18"/>
    <sheet name="13 Notes" sheetId="19" r:id="rId19"/>
    <sheet name="PCS Fee Based Revenue" sheetId="20" state="hidden" r:id="rId20"/>
    <sheet name="Book Value" sheetId="21" state="hidden" r:id="rId21"/>
    <sheet name="NHI" sheetId="22" state="hidden" r:id="rId22"/>
  </sheets>
  <externalReferences>
    <externalReference r:id="rId25"/>
    <externalReference r:id="rId26"/>
    <externalReference r:id="rId27"/>
    <externalReference r:id="rId28"/>
  </externalReferences>
  <definedNames>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4">#REF!</definedName>
    <definedName name="\B" localSheetId="10">#REF!</definedName>
    <definedName name="\B" localSheetId="11">#REF!</definedName>
    <definedName name="\B">#REF!</definedName>
    <definedName name="\G" localSheetId="4">#REF!</definedName>
    <definedName name="\G" localSheetId="6">#REF!</definedName>
    <definedName name="\G" localSheetId="7">#REF!</definedName>
    <definedName name="\G" localSheetId="8">#REF!</definedName>
    <definedName name="\G" localSheetId="9">#REF!</definedName>
    <definedName name="\G" localSheetId="10">#REF!</definedName>
    <definedName name="\G" localSheetId="11">#REF!</definedName>
    <definedName name="\G">#REF!</definedName>
    <definedName name="\S" localSheetId="4">#REF!</definedName>
    <definedName name="\S" localSheetId="6">#REF!</definedName>
    <definedName name="\S" localSheetId="7">#REF!</definedName>
    <definedName name="\S" localSheetId="8">#REF!</definedName>
    <definedName name="\S" localSheetId="9">#REF!</definedName>
    <definedName name="\S" localSheetId="10">#REF!</definedName>
    <definedName name="\S" localSheetId="11">#REF!</definedName>
    <definedName name="\S">#REF!</definedName>
    <definedName name="_2_OR" localSheetId="4">#REF!</definedName>
    <definedName name="_2_OR" localSheetId="6">#REF!</definedName>
    <definedName name="_2_OR" localSheetId="7">#REF!</definedName>
    <definedName name="_2_OR" localSheetId="8">#REF!</definedName>
    <definedName name="_2_OR" localSheetId="9">#REF!</definedName>
    <definedName name="_2_OR" localSheetId="10">#REF!</definedName>
    <definedName name="_2_OR" localSheetId="11">#REF!</definedName>
    <definedName name="_2_OR">#REF!</definedName>
    <definedName name="_APR95" localSheetId="4">#REF!</definedName>
    <definedName name="_APR95" localSheetId="6">#REF!</definedName>
    <definedName name="_APR95" localSheetId="7">#REF!</definedName>
    <definedName name="_APR95" localSheetId="8">#REF!</definedName>
    <definedName name="_APR95" localSheetId="9">#REF!</definedName>
    <definedName name="_APR95" localSheetId="10">#REF!</definedName>
    <definedName name="_APR95" localSheetId="11">#REF!</definedName>
    <definedName name="_APR95">#REF!</definedName>
    <definedName name="_APR96" localSheetId="4">#REF!</definedName>
    <definedName name="_APR96" localSheetId="6">#REF!</definedName>
    <definedName name="_APR96" localSheetId="7">#REF!</definedName>
    <definedName name="_APR96" localSheetId="8">#REF!</definedName>
    <definedName name="_APR96" localSheetId="9">#REF!</definedName>
    <definedName name="_APR96" localSheetId="10">#REF!</definedName>
    <definedName name="_APR96" localSheetId="11">#REF!</definedName>
    <definedName name="_APR96">#REF!</definedName>
    <definedName name="_APR97" localSheetId="4">#REF!</definedName>
    <definedName name="_APR97" localSheetId="6">#REF!</definedName>
    <definedName name="_APR97" localSheetId="7">#REF!</definedName>
    <definedName name="_APR97" localSheetId="8">#REF!</definedName>
    <definedName name="_APR97" localSheetId="9">#REF!</definedName>
    <definedName name="_APR97" localSheetId="10">#REF!</definedName>
    <definedName name="_APR97" localSheetId="11">#REF!</definedName>
    <definedName name="_APR97">#REF!</definedName>
    <definedName name="_AUG94" localSheetId="4">#REF!</definedName>
    <definedName name="_AUG94" localSheetId="6">#REF!</definedName>
    <definedName name="_AUG94" localSheetId="7">#REF!</definedName>
    <definedName name="_AUG94" localSheetId="8">#REF!</definedName>
    <definedName name="_AUG94" localSheetId="9">#REF!</definedName>
    <definedName name="_AUG94" localSheetId="10">#REF!</definedName>
    <definedName name="_AUG94" localSheetId="11">#REF!</definedName>
    <definedName name="_AUG94">#REF!</definedName>
    <definedName name="_AUG95" localSheetId="4">#REF!</definedName>
    <definedName name="_AUG95" localSheetId="6">#REF!</definedName>
    <definedName name="_AUG95" localSheetId="7">#REF!</definedName>
    <definedName name="_AUG95" localSheetId="8">#REF!</definedName>
    <definedName name="_AUG95" localSheetId="9">#REF!</definedName>
    <definedName name="_AUG95" localSheetId="10">#REF!</definedName>
    <definedName name="_AUG95" localSheetId="11">#REF!</definedName>
    <definedName name="_AUG95">#REF!</definedName>
    <definedName name="_AUG96" localSheetId="4">#REF!</definedName>
    <definedName name="_AUG96" localSheetId="6">#REF!</definedName>
    <definedName name="_AUG96" localSheetId="7">#REF!</definedName>
    <definedName name="_AUG96" localSheetId="8">#REF!</definedName>
    <definedName name="_AUG96" localSheetId="9">#REF!</definedName>
    <definedName name="_AUG96" localSheetId="10">#REF!</definedName>
    <definedName name="_AUG96" localSheetId="11">#REF!</definedName>
    <definedName name="_AUG96">#REF!</definedName>
    <definedName name="_AUG97" localSheetId="4">#REF!</definedName>
    <definedName name="_AUG97" localSheetId="6">#REF!</definedName>
    <definedName name="_AUG97" localSheetId="7">#REF!</definedName>
    <definedName name="_AUG97" localSheetId="8">#REF!</definedName>
    <definedName name="_AUG97" localSheetId="9">#REF!</definedName>
    <definedName name="_AUG97" localSheetId="10">#REF!</definedName>
    <definedName name="_AUG97" localSheetId="11">#REF!</definedName>
    <definedName name="_AUG97">#REF!</definedName>
    <definedName name="_DEC94" localSheetId="4">#REF!</definedName>
    <definedName name="_DEC94" localSheetId="6">#REF!</definedName>
    <definedName name="_DEC94" localSheetId="7">#REF!</definedName>
    <definedName name="_DEC94" localSheetId="8">#REF!</definedName>
    <definedName name="_DEC94" localSheetId="9">#REF!</definedName>
    <definedName name="_DEC94" localSheetId="10">#REF!</definedName>
    <definedName name="_DEC94" localSheetId="11">#REF!</definedName>
    <definedName name="_DEC94">#REF!</definedName>
    <definedName name="_DEC95" localSheetId="4">#REF!</definedName>
    <definedName name="_DEC95" localSheetId="6">#REF!</definedName>
    <definedName name="_DEC95" localSheetId="7">#REF!</definedName>
    <definedName name="_DEC95" localSheetId="8">#REF!</definedName>
    <definedName name="_DEC95" localSheetId="9">#REF!</definedName>
    <definedName name="_DEC95" localSheetId="10">#REF!</definedName>
    <definedName name="_DEC95" localSheetId="11">#REF!</definedName>
    <definedName name="_DEC95">#REF!</definedName>
    <definedName name="_DEC96" localSheetId="4">#REF!</definedName>
    <definedName name="_DEC96" localSheetId="6">#REF!</definedName>
    <definedName name="_DEC96" localSheetId="7">#REF!</definedName>
    <definedName name="_DEC96" localSheetId="8">#REF!</definedName>
    <definedName name="_DEC96" localSheetId="9">#REF!</definedName>
    <definedName name="_DEC96" localSheetId="10">#REF!</definedName>
    <definedName name="_DEC96" localSheetId="11">#REF!</definedName>
    <definedName name="_DEC96">#REF!</definedName>
    <definedName name="_FEB95" localSheetId="4">#REF!</definedName>
    <definedName name="_FEB95" localSheetId="6">#REF!</definedName>
    <definedName name="_FEB95" localSheetId="7">#REF!</definedName>
    <definedName name="_FEB95" localSheetId="8">#REF!</definedName>
    <definedName name="_FEB95" localSheetId="9">#REF!</definedName>
    <definedName name="_FEB95" localSheetId="10">#REF!</definedName>
    <definedName name="_FEB95" localSheetId="11">#REF!</definedName>
    <definedName name="_FEB95">#REF!</definedName>
    <definedName name="_FEB96" localSheetId="4">#REF!</definedName>
    <definedName name="_FEB96" localSheetId="6">#REF!</definedName>
    <definedName name="_FEB96" localSheetId="7">#REF!</definedName>
    <definedName name="_FEB96" localSheetId="8">#REF!</definedName>
    <definedName name="_FEB96" localSheetId="9">#REF!</definedName>
    <definedName name="_FEB96" localSheetId="10">#REF!</definedName>
    <definedName name="_FEB96" localSheetId="11">#REF!</definedName>
    <definedName name="_FEB96">#REF!</definedName>
    <definedName name="_FEB97" localSheetId="4">#REF!</definedName>
    <definedName name="_FEB97" localSheetId="6">#REF!</definedName>
    <definedName name="_FEB97" localSheetId="7">#REF!</definedName>
    <definedName name="_FEB97" localSheetId="8">#REF!</definedName>
    <definedName name="_FEB97" localSheetId="9">#REF!</definedName>
    <definedName name="_FEB97" localSheetId="10">#REF!</definedName>
    <definedName name="_FEB97" localSheetId="11">#REF!</definedName>
    <definedName name="_FEB97">#REF!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JAN95" localSheetId="4">#REF!</definedName>
    <definedName name="_JAN95" localSheetId="6">#REF!</definedName>
    <definedName name="_JAN95" localSheetId="7">#REF!</definedName>
    <definedName name="_JAN95" localSheetId="8">#REF!</definedName>
    <definedName name="_JAN95" localSheetId="9">#REF!</definedName>
    <definedName name="_JAN95" localSheetId="10">#REF!</definedName>
    <definedName name="_JAN95" localSheetId="11">#REF!</definedName>
    <definedName name="_JAN95">#REF!</definedName>
    <definedName name="_JAN96" localSheetId="4">#REF!</definedName>
    <definedName name="_JAN96" localSheetId="6">#REF!</definedName>
    <definedName name="_JAN96" localSheetId="7">#REF!</definedName>
    <definedName name="_JAN96" localSheetId="8">#REF!</definedName>
    <definedName name="_JAN96" localSheetId="9">#REF!</definedName>
    <definedName name="_JAN96" localSheetId="10">#REF!</definedName>
    <definedName name="_JAN96" localSheetId="11">#REF!</definedName>
    <definedName name="_JAN96">#REF!</definedName>
    <definedName name="_JAN97" localSheetId="4">#REF!</definedName>
    <definedName name="_JAN97" localSheetId="6">#REF!</definedName>
    <definedName name="_JAN97" localSheetId="7">#REF!</definedName>
    <definedName name="_JAN97" localSheetId="8">#REF!</definedName>
    <definedName name="_JAN97" localSheetId="9">#REF!</definedName>
    <definedName name="_JAN97" localSheetId="10">#REF!</definedName>
    <definedName name="_JAN97" localSheetId="11">#REF!</definedName>
    <definedName name="_JAN97">#REF!</definedName>
    <definedName name="_JUL94" localSheetId="4">#REF!</definedName>
    <definedName name="_JUL94" localSheetId="6">#REF!</definedName>
    <definedName name="_JUL94" localSheetId="7">#REF!</definedName>
    <definedName name="_JUL94" localSheetId="8">#REF!</definedName>
    <definedName name="_JUL94" localSheetId="9">#REF!</definedName>
    <definedName name="_JUL94" localSheetId="10">#REF!</definedName>
    <definedName name="_JUL94" localSheetId="11">#REF!</definedName>
    <definedName name="_JUL94">#REF!</definedName>
    <definedName name="_JUL95" localSheetId="4">#REF!</definedName>
    <definedName name="_JUL95" localSheetId="6">#REF!</definedName>
    <definedName name="_JUL95" localSheetId="7">#REF!</definedName>
    <definedName name="_JUL95" localSheetId="8">#REF!</definedName>
    <definedName name="_JUL95" localSheetId="9">#REF!</definedName>
    <definedName name="_JUL95" localSheetId="10">#REF!</definedName>
    <definedName name="_JUL95" localSheetId="11">#REF!</definedName>
    <definedName name="_JUL95">#REF!</definedName>
    <definedName name="_JUL96" localSheetId="4">#REF!</definedName>
    <definedName name="_JUL96" localSheetId="6">#REF!</definedName>
    <definedName name="_JUL96" localSheetId="7">#REF!</definedName>
    <definedName name="_JUL96" localSheetId="8">#REF!</definedName>
    <definedName name="_JUL96" localSheetId="9">#REF!</definedName>
    <definedName name="_JUL96" localSheetId="10">#REF!</definedName>
    <definedName name="_JUL96" localSheetId="11">#REF!</definedName>
    <definedName name="_JUL96">#REF!</definedName>
    <definedName name="_JUL97" localSheetId="4">#REF!</definedName>
    <definedName name="_JUL97" localSheetId="6">#REF!</definedName>
    <definedName name="_JUL97" localSheetId="7">#REF!</definedName>
    <definedName name="_JUL97" localSheetId="8">#REF!</definedName>
    <definedName name="_JUL97" localSheetId="9">#REF!</definedName>
    <definedName name="_JUL97" localSheetId="10">#REF!</definedName>
    <definedName name="_JUL97" localSheetId="11">#REF!</definedName>
    <definedName name="_JUL97">#REF!</definedName>
    <definedName name="_JUN94" localSheetId="4">#REF!</definedName>
    <definedName name="_JUN94" localSheetId="6">#REF!</definedName>
    <definedName name="_JUN94" localSheetId="7">#REF!</definedName>
    <definedName name="_JUN94" localSheetId="8">#REF!</definedName>
    <definedName name="_JUN94" localSheetId="9">#REF!</definedName>
    <definedName name="_JUN94" localSheetId="10">#REF!</definedName>
    <definedName name="_JUN94" localSheetId="11">#REF!</definedName>
    <definedName name="_JUN94">#REF!</definedName>
    <definedName name="_JUN95" localSheetId="4">#REF!</definedName>
    <definedName name="_JUN95" localSheetId="6">#REF!</definedName>
    <definedName name="_JUN95" localSheetId="7">#REF!</definedName>
    <definedName name="_JUN95" localSheetId="8">#REF!</definedName>
    <definedName name="_JUN95" localSheetId="9">#REF!</definedName>
    <definedName name="_JUN95" localSheetId="10">#REF!</definedName>
    <definedName name="_JUN95" localSheetId="11">#REF!</definedName>
    <definedName name="_JUN95">#REF!</definedName>
    <definedName name="_JUN96" localSheetId="4">#REF!</definedName>
    <definedName name="_JUN96" localSheetId="6">#REF!</definedName>
    <definedName name="_JUN96" localSheetId="7">#REF!</definedName>
    <definedName name="_JUN96" localSheetId="8">#REF!</definedName>
    <definedName name="_JUN96" localSheetId="9">#REF!</definedName>
    <definedName name="_JUN96" localSheetId="10">#REF!</definedName>
    <definedName name="_JUN96" localSheetId="11">#REF!</definedName>
    <definedName name="_JUN96">#REF!</definedName>
    <definedName name="_JUN97" localSheetId="4">#REF!</definedName>
    <definedName name="_JUN97" localSheetId="6">#REF!</definedName>
    <definedName name="_JUN97" localSheetId="7">#REF!</definedName>
    <definedName name="_JUN97" localSheetId="8">#REF!</definedName>
    <definedName name="_JUN97" localSheetId="9">#REF!</definedName>
    <definedName name="_JUN97" localSheetId="10">#REF!</definedName>
    <definedName name="_JUN97" localSheetId="11">#REF!</definedName>
    <definedName name="_JUN97">#REF!</definedName>
    <definedName name="_Key1" localSheetId="4"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hidden="1">#REF!</definedName>
    <definedName name="_Key2" localSheetId="4"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hidden="1">#REF!</definedName>
    <definedName name="_MAR95" localSheetId="4">#REF!</definedName>
    <definedName name="_MAR95" localSheetId="6">#REF!</definedName>
    <definedName name="_MAR95" localSheetId="7">#REF!</definedName>
    <definedName name="_MAR95" localSheetId="8">#REF!</definedName>
    <definedName name="_MAR95" localSheetId="9">#REF!</definedName>
    <definedName name="_MAR95" localSheetId="10">#REF!</definedName>
    <definedName name="_MAR95" localSheetId="11">#REF!</definedName>
    <definedName name="_MAR95">#REF!</definedName>
    <definedName name="_MAR96" localSheetId="4">#REF!</definedName>
    <definedName name="_MAR96" localSheetId="6">#REF!</definedName>
    <definedName name="_MAR96" localSheetId="7">#REF!</definedName>
    <definedName name="_MAR96" localSheetId="8">#REF!</definedName>
    <definedName name="_MAR96" localSheetId="9">#REF!</definedName>
    <definedName name="_MAR96" localSheetId="10">#REF!</definedName>
    <definedName name="_MAR96" localSheetId="11">#REF!</definedName>
    <definedName name="_MAR96">#REF!</definedName>
    <definedName name="_MAR97" localSheetId="4">#REF!</definedName>
    <definedName name="_MAR97" localSheetId="6">#REF!</definedName>
    <definedName name="_MAR97" localSheetId="7">#REF!</definedName>
    <definedName name="_MAR97" localSheetId="8">#REF!</definedName>
    <definedName name="_MAR97" localSheetId="9">#REF!</definedName>
    <definedName name="_MAR97" localSheetId="10">#REF!</definedName>
    <definedName name="_MAR97" localSheetId="11">#REF!</definedName>
    <definedName name="_MAR97">#REF!</definedName>
    <definedName name="_MAY94" localSheetId="4">#REF!</definedName>
    <definedName name="_MAY94" localSheetId="6">#REF!</definedName>
    <definedName name="_MAY94" localSheetId="7">#REF!</definedName>
    <definedName name="_MAY94" localSheetId="8">#REF!</definedName>
    <definedName name="_MAY94" localSheetId="9">#REF!</definedName>
    <definedName name="_MAY94" localSheetId="10">#REF!</definedName>
    <definedName name="_MAY94" localSheetId="11">#REF!</definedName>
    <definedName name="_MAY94">#REF!</definedName>
    <definedName name="_MAY95" localSheetId="4">#REF!</definedName>
    <definedName name="_MAY95" localSheetId="6">#REF!</definedName>
    <definedName name="_MAY95" localSheetId="7">#REF!</definedName>
    <definedName name="_MAY95" localSheetId="8">#REF!</definedName>
    <definedName name="_MAY95" localSheetId="9">#REF!</definedName>
    <definedName name="_MAY95" localSheetId="10">#REF!</definedName>
    <definedName name="_MAY95" localSheetId="11">#REF!</definedName>
    <definedName name="_MAY95">#REF!</definedName>
    <definedName name="_MAY96" localSheetId="4">#REF!</definedName>
    <definedName name="_MAY96" localSheetId="6">#REF!</definedName>
    <definedName name="_MAY96" localSheetId="7">#REF!</definedName>
    <definedName name="_MAY96" localSheetId="8">#REF!</definedName>
    <definedName name="_MAY96" localSheetId="9">#REF!</definedName>
    <definedName name="_MAY96" localSheetId="10">#REF!</definedName>
    <definedName name="_MAY96" localSheetId="11">#REF!</definedName>
    <definedName name="_MAY96">#REF!</definedName>
    <definedName name="_NCF2" localSheetId="4">#REF!</definedName>
    <definedName name="_NCF2" localSheetId="6">#REF!</definedName>
    <definedName name="_NCF2" localSheetId="7">#REF!</definedName>
    <definedName name="_NCF2" localSheetId="8">#REF!</definedName>
    <definedName name="_NCF2" localSheetId="9">#REF!</definedName>
    <definedName name="_NCF2" localSheetId="10">#REF!</definedName>
    <definedName name="_NCF2" localSheetId="11">#REF!</definedName>
    <definedName name="_NCF2">#REF!</definedName>
    <definedName name="_NO94" localSheetId="4">#REF!</definedName>
    <definedName name="_NO94" localSheetId="6">#REF!</definedName>
    <definedName name="_NO94" localSheetId="7">#REF!</definedName>
    <definedName name="_NO94" localSheetId="8">#REF!</definedName>
    <definedName name="_NO94" localSheetId="9">#REF!</definedName>
    <definedName name="_NO94" localSheetId="10">#REF!</definedName>
    <definedName name="_NO94" localSheetId="11">#REF!</definedName>
    <definedName name="_NO94">#REF!</definedName>
    <definedName name="_NOV94" localSheetId="4">#REF!</definedName>
    <definedName name="_NOV94" localSheetId="6">#REF!</definedName>
    <definedName name="_NOV94" localSheetId="7">#REF!</definedName>
    <definedName name="_NOV94" localSheetId="8">#REF!</definedName>
    <definedName name="_NOV94" localSheetId="9">#REF!</definedName>
    <definedName name="_NOV94" localSheetId="10">#REF!</definedName>
    <definedName name="_NOV94" localSheetId="11">#REF!</definedName>
    <definedName name="_NOV94">#REF!</definedName>
    <definedName name="_NOV95" localSheetId="4">#REF!</definedName>
    <definedName name="_NOV95" localSheetId="6">#REF!</definedName>
    <definedName name="_NOV95" localSheetId="7">#REF!</definedName>
    <definedName name="_NOV95" localSheetId="8">#REF!</definedName>
    <definedName name="_NOV95" localSheetId="9">#REF!</definedName>
    <definedName name="_NOV95" localSheetId="10">#REF!</definedName>
    <definedName name="_NOV95" localSheetId="11">#REF!</definedName>
    <definedName name="_NOV95">#REF!</definedName>
    <definedName name="_NOV97" localSheetId="4">#REF!</definedName>
    <definedName name="_NOV97" localSheetId="6">#REF!</definedName>
    <definedName name="_NOV97" localSheetId="7">#REF!</definedName>
    <definedName name="_NOV97" localSheetId="8">#REF!</definedName>
    <definedName name="_NOV97" localSheetId="9">#REF!</definedName>
    <definedName name="_NOV97" localSheetId="10">#REF!</definedName>
    <definedName name="_NOV97" localSheetId="11">#REF!</definedName>
    <definedName name="_NOV97">#REF!</definedName>
    <definedName name="_OCT94" localSheetId="4">#REF!</definedName>
    <definedName name="_OCT94" localSheetId="6">#REF!</definedName>
    <definedName name="_OCT94" localSheetId="7">#REF!</definedName>
    <definedName name="_OCT94" localSheetId="8">#REF!</definedName>
    <definedName name="_OCT94" localSheetId="9">#REF!</definedName>
    <definedName name="_OCT94" localSheetId="10">#REF!</definedName>
    <definedName name="_OCT94" localSheetId="11">#REF!</definedName>
    <definedName name="_OCT94">#REF!</definedName>
    <definedName name="_OCT95" localSheetId="4">#REF!</definedName>
    <definedName name="_OCT95" localSheetId="6">#REF!</definedName>
    <definedName name="_OCT95" localSheetId="7">#REF!</definedName>
    <definedName name="_OCT95" localSheetId="8">#REF!</definedName>
    <definedName name="_OCT95" localSheetId="9">#REF!</definedName>
    <definedName name="_OCT95" localSheetId="10">#REF!</definedName>
    <definedName name="_OCT95" localSheetId="11">#REF!</definedName>
    <definedName name="_OCT95">#REF!</definedName>
    <definedName name="_OCT97" localSheetId="4">#REF!</definedName>
    <definedName name="_OCT97" localSheetId="6">#REF!</definedName>
    <definedName name="_OCT97" localSheetId="7">#REF!</definedName>
    <definedName name="_OCT97" localSheetId="8">#REF!</definedName>
    <definedName name="_OCT97" localSheetId="9">#REF!</definedName>
    <definedName name="_OCT97" localSheetId="10">#REF!</definedName>
    <definedName name="_OCT97" localSheetId="11">#REF!</definedName>
    <definedName name="_OCT97">#REF!</definedName>
    <definedName name="_Order1" hidden="1">0</definedName>
    <definedName name="_Order2" hidden="1">255</definedName>
    <definedName name="_SEP94" localSheetId="4">#REF!</definedName>
    <definedName name="_SEP94" localSheetId="6">#REF!</definedName>
    <definedName name="_SEP94" localSheetId="7">#REF!</definedName>
    <definedName name="_SEP94" localSheetId="8">#REF!</definedName>
    <definedName name="_SEP94" localSheetId="9">#REF!</definedName>
    <definedName name="_SEP94" localSheetId="14">#REF!</definedName>
    <definedName name="_SEP94" localSheetId="10">#REF!</definedName>
    <definedName name="_SEP94" localSheetId="11">#REF!</definedName>
    <definedName name="_SEP94">#REF!</definedName>
    <definedName name="_SEP95" localSheetId="4">#REF!</definedName>
    <definedName name="_SEP95" localSheetId="6">#REF!</definedName>
    <definedName name="_SEP95" localSheetId="7">#REF!</definedName>
    <definedName name="_SEP95" localSheetId="8">#REF!</definedName>
    <definedName name="_SEP95" localSheetId="9">#REF!</definedName>
    <definedName name="_SEP95" localSheetId="10">#REF!</definedName>
    <definedName name="_SEP95" localSheetId="11">#REF!</definedName>
    <definedName name="_SEP95">#REF!</definedName>
    <definedName name="_SEP97" localSheetId="4">#REF!</definedName>
    <definedName name="_SEP97" localSheetId="6">#REF!</definedName>
    <definedName name="_SEP97" localSheetId="7">#REF!</definedName>
    <definedName name="_SEP97" localSheetId="8">#REF!</definedName>
    <definedName name="_SEP97" localSheetId="9">#REF!</definedName>
    <definedName name="_SEP97" localSheetId="10">#REF!</definedName>
    <definedName name="_SEP97" localSheetId="11">#REF!</definedName>
    <definedName name="_SEP97">#REF!</definedName>
    <definedName name="_Sort" localSheetId="4"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hidden="1">#REF!</definedName>
    <definedName name="_xlfn.IFERROR" hidden="1">#NAME?</definedName>
    <definedName name="BD" localSheetId="4">#REF!</definedName>
    <definedName name="BD" localSheetId="6">#REF!</definedName>
    <definedName name="BD" localSheetId="7">#REF!</definedName>
    <definedName name="BD" localSheetId="8">#REF!</definedName>
    <definedName name="BD" localSheetId="9">#REF!</definedName>
    <definedName name="BD" localSheetId="10">#REF!</definedName>
    <definedName name="BD" localSheetId="11">#REF!</definedName>
    <definedName name="BD">#REF!</definedName>
    <definedName name="BDS" localSheetId="4">#REF!</definedName>
    <definedName name="BDS" localSheetId="6">#REF!</definedName>
    <definedName name="BDS" localSheetId="7">#REF!</definedName>
    <definedName name="BDS" localSheetId="8">#REF!</definedName>
    <definedName name="BDS" localSheetId="9">#REF!</definedName>
    <definedName name="BDS" localSheetId="10">#REF!</definedName>
    <definedName name="BDS" localSheetId="11">#REF!</definedName>
    <definedName name="BDS">#REF!</definedName>
    <definedName name="BRPFT" localSheetId="4">#REF!</definedName>
    <definedName name="BRPFT" localSheetId="6">#REF!</definedName>
    <definedName name="BRPFT" localSheetId="7">#REF!</definedName>
    <definedName name="BRPFT" localSheetId="8">#REF!</definedName>
    <definedName name="BRPFT" localSheetId="9">#REF!</definedName>
    <definedName name="BRPFT" localSheetId="10">#REF!</definedName>
    <definedName name="BRPFT" localSheetId="11">#REF!</definedName>
    <definedName name="BRPFT">#REF!</definedName>
    <definedName name="CALGARY" localSheetId="4">#REF!</definedName>
    <definedName name="CALGARY" localSheetId="6">#REF!</definedName>
    <definedName name="CALGARY" localSheetId="7">#REF!</definedName>
    <definedName name="CALGARY" localSheetId="8">#REF!</definedName>
    <definedName name="CALGARY" localSheetId="9">#REF!</definedName>
    <definedName name="CALGARY" localSheetId="10">#REF!</definedName>
    <definedName name="CALGARY" localSheetId="11">#REF!</definedName>
    <definedName name="CALGARY">#REF!</definedName>
    <definedName name="cci_end_price_Q206" localSheetId="5">'[1]CCI Stock Prices'!$I$39</definedName>
    <definedName name="cci_end_price_Q206" localSheetId="6">'[1]CCI Stock Prices'!$I$39</definedName>
    <definedName name="cci_end_price_Q206" localSheetId="7">'[1]CCI Stock Prices'!$I$39</definedName>
    <definedName name="cci_end_price_Q206" localSheetId="8">'[1]CCI Stock Prices'!$I$39</definedName>
    <definedName name="cci_end_price_Q206" localSheetId="14">'[1]CCI Stock Prices'!$I$39</definedName>
    <definedName name="cci_end_price_Q206">'[2]CCI Stock Prices'!$I$39</definedName>
    <definedName name="com" localSheetId="4">#REF!</definedName>
    <definedName name="com" localSheetId="6">#REF!</definedName>
    <definedName name="com" localSheetId="7">#REF!</definedName>
    <definedName name="com" localSheetId="8">#REF!</definedName>
    <definedName name="com" localSheetId="9">#REF!</definedName>
    <definedName name="com" localSheetId="14">#REF!</definedName>
    <definedName name="com" localSheetId="10">#REF!</definedName>
    <definedName name="com" localSheetId="11">#REF!</definedName>
    <definedName name="com">#REF!</definedName>
    <definedName name="INCTAX" localSheetId="4">#REF!</definedName>
    <definedName name="INCTAX" localSheetId="6">#REF!</definedName>
    <definedName name="INCTAX" localSheetId="7">#REF!</definedName>
    <definedName name="INCTAX" localSheetId="8">#REF!</definedName>
    <definedName name="INCTAX" localSheetId="9">#REF!</definedName>
    <definedName name="INCTAX" localSheetId="10">#REF!</definedName>
    <definedName name="INCTAX" localSheetId="11">#REF!</definedName>
    <definedName name="INCTAX">#REF!</definedName>
    <definedName name="NCF" localSheetId="4">#REF!</definedName>
    <definedName name="NCF" localSheetId="6">#REF!</definedName>
    <definedName name="NCF" localSheetId="7">#REF!</definedName>
    <definedName name="NCF" localSheetId="8">#REF!</definedName>
    <definedName name="NCF" localSheetId="9">#REF!</definedName>
    <definedName name="NCF" localSheetId="10">#REF!</definedName>
    <definedName name="NCF" localSheetId="11">#REF!</definedName>
    <definedName name="NCF">#REF!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 localSheetId="11">#REF!</definedName>
    <definedName name="p">#REF!</definedName>
    <definedName name="PAGE_" localSheetId="4">#REF!</definedName>
    <definedName name="PAGE_" localSheetId="6">#REF!</definedName>
    <definedName name="PAGE_" localSheetId="7">#REF!</definedName>
    <definedName name="PAGE_" localSheetId="8">#REF!</definedName>
    <definedName name="PAGE_" localSheetId="9">#REF!</definedName>
    <definedName name="PAGE_" localSheetId="10">#REF!</definedName>
    <definedName name="PAGE_" localSheetId="11">#REF!</definedName>
    <definedName name="PAGE_">#REF!</definedName>
    <definedName name="PAGE1" localSheetId="4">#REF!</definedName>
    <definedName name="PAGE1" localSheetId="6">#REF!</definedName>
    <definedName name="PAGE1" localSheetId="7">#REF!</definedName>
    <definedName name="PAGE1" localSheetId="8">#REF!</definedName>
    <definedName name="PAGE1" localSheetId="9">#REF!</definedName>
    <definedName name="PAGE1" localSheetId="10">#REF!</definedName>
    <definedName name="PAGE1" localSheetId="11">#REF!</definedName>
    <definedName name="PAGE1">#REF!</definedName>
    <definedName name="PAGE2" localSheetId="4">#REF!</definedName>
    <definedName name="PAGE2" localSheetId="6">#REF!</definedName>
    <definedName name="PAGE2" localSheetId="7">#REF!</definedName>
    <definedName name="PAGE2" localSheetId="8">#REF!</definedName>
    <definedName name="PAGE2" localSheetId="9">#REF!</definedName>
    <definedName name="PAGE2" localSheetId="10">#REF!</definedName>
    <definedName name="PAGE2" localSheetId="11">#REF!</definedName>
    <definedName name="PAGE2">#REF!</definedName>
    <definedName name="PAGE3" localSheetId="4">#REF!</definedName>
    <definedName name="PAGE3" localSheetId="6">#REF!</definedName>
    <definedName name="PAGE3" localSheetId="7">#REF!</definedName>
    <definedName name="PAGE3" localSheetId="8">#REF!</definedName>
    <definedName name="PAGE3" localSheetId="9">#REF!</definedName>
    <definedName name="PAGE3" localSheetId="10">#REF!</definedName>
    <definedName name="PAGE3" localSheetId="11">#REF!</definedName>
    <definedName name="PAGE3">#REF!</definedName>
    <definedName name="PAGE4" localSheetId="4">#REF!</definedName>
    <definedName name="PAGE4" localSheetId="6">#REF!</definedName>
    <definedName name="PAGE4" localSheetId="7">#REF!</definedName>
    <definedName name="PAGE4" localSheetId="8">#REF!</definedName>
    <definedName name="PAGE4" localSheetId="9">#REF!</definedName>
    <definedName name="PAGE4" localSheetId="10">#REF!</definedName>
    <definedName name="PAGE4" localSheetId="11">#REF!</definedName>
    <definedName name="PAGE4">#REF!</definedName>
    <definedName name="PAGE6" localSheetId="4">#REF!</definedName>
    <definedName name="PAGE6" localSheetId="6">#REF!</definedName>
    <definedName name="PAGE6" localSheetId="7">#REF!</definedName>
    <definedName name="PAGE6" localSheetId="8">#REF!</definedName>
    <definedName name="PAGE6" localSheetId="9">#REF!</definedName>
    <definedName name="PAGE6" localSheetId="10">#REF!</definedName>
    <definedName name="PAGE6" localSheetId="11">#REF!</definedName>
    <definedName name="PAGE6">#REF!</definedName>
    <definedName name="PAGEALPH" localSheetId="4">#REF!</definedName>
    <definedName name="PAGEALPH" localSheetId="6">#REF!</definedName>
    <definedName name="PAGEALPH" localSheetId="7">#REF!</definedName>
    <definedName name="PAGEALPH" localSheetId="8">#REF!</definedName>
    <definedName name="PAGEALPH" localSheetId="9">#REF!</definedName>
    <definedName name="PAGEALPH" localSheetId="10">#REF!</definedName>
    <definedName name="PAGEALPH" localSheetId="11">#REF!</definedName>
    <definedName name="PAGEALPH">#REF!</definedName>
    <definedName name="PFTTSF" localSheetId="4">#REF!</definedName>
    <definedName name="PFTTSF" localSheetId="6">#REF!</definedName>
    <definedName name="PFTTSF" localSheetId="7">#REF!</definedName>
    <definedName name="PFTTSF" localSheetId="8">#REF!</definedName>
    <definedName name="PFTTSF" localSheetId="9">#REF!</definedName>
    <definedName name="PFTTSF" localSheetId="10">#REF!</definedName>
    <definedName name="PFTTSF" localSheetId="11">#REF!</definedName>
    <definedName name="PFTTSF">#REF!</definedName>
    <definedName name="POOLALL" localSheetId="4">#REF!</definedName>
    <definedName name="POOLALL" localSheetId="6">#REF!</definedName>
    <definedName name="POOLALL" localSheetId="7">#REF!</definedName>
    <definedName name="POOLALL" localSheetId="8">#REF!</definedName>
    <definedName name="POOLALL" localSheetId="9">#REF!</definedName>
    <definedName name="POOLALL" localSheetId="10">#REF!</definedName>
    <definedName name="POOLALL" localSheetId="11">#REF!</definedName>
    <definedName name="POOLALL">#REF!</definedName>
    <definedName name="POOLREC" localSheetId="4">#REF!</definedName>
    <definedName name="POOLREC" localSheetId="6">#REF!</definedName>
    <definedName name="POOLREC" localSheetId="7">#REF!</definedName>
    <definedName name="POOLREC" localSheetId="8">#REF!</definedName>
    <definedName name="POOLREC" localSheetId="9">#REF!</definedName>
    <definedName name="POOLREC" localSheetId="10">#REF!</definedName>
    <definedName name="POOLREC" localSheetId="11">#REF!</definedName>
    <definedName name="POOLREC">#REF!</definedName>
    <definedName name="_xlnm.Print_Area" localSheetId="0">'1 Cover'!$A$1:$I$35</definedName>
    <definedName name="_xlnm.Print_Area" localSheetId="2">'1 Financial Highlights'!$A$1:$BB$96</definedName>
    <definedName name="_xlnm.Print_Area" localSheetId="12">'10 Other'!$A$1:$BB$52</definedName>
    <definedName name="_xlnm.Print_Area" localSheetId="16">'11 Balance Sheet'!$A$1:$AY$40</definedName>
    <definedName name="_xlnm.Print_Area" localSheetId="17">'12 Misc Operating Stats'!$A$1:$BB$53</definedName>
    <definedName name="_xlnm.Print_Area" localSheetId="18">'13 Notes'!$A$1:$L$49</definedName>
    <definedName name="_xlnm.Print_Area" localSheetId="3">'2 Consolidated IS'!$A$1:$BB$86</definedName>
    <definedName name="_xlnm.Print_Area" localSheetId="4">'3 Canaccord Genuity '!$A$1:$BB$88</definedName>
    <definedName name="_xlnm.Print_Area" localSheetId="5">'4 Capital Markets Canada'!$A$1:$BB$75</definedName>
    <definedName name="_xlnm.Print_Area" localSheetId="6">'5 CG - UK'!$A$1:$BB$71</definedName>
    <definedName name="_xlnm.Print_Area" localSheetId="7">'6 CG - US'!$A$1:$BB$74</definedName>
    <definedName name="_xlnm.Print_Area" localSheetId="13">'7 Canada'!$A$1:$BB$79</definedName>
    <definedName name="_xlnm.Print_Area" localSheetId="8">'7 CG Other Foreign Loc'!$A$1:$BB$68</definedName>
    <definedName name="_xlnm.Print_Area" localSheetId="9">'8 CWM Canada'!$A$1:$BB$79</definedName>
    <definedName name="_xlnm.Print_Area" localSheetId="14">'8 UK and Europe'!$A$1:$BB$77</definedName>
    <definedName name="_xlnm.Print_Area" localSheetId="10">'9 CWM UK and Europe'!$A$1:$BB$75</definedName>
    <definedName name="_xlnm.Print_Area" localSheetId="15">'9 US'!$A$1:$BB$75</definedName>
    <definedName name="_xlnm.Print_Area" localSheetId="20">'Book Value'!$A$1:$E$37</definedName>
    <definedName name="_xlnm.Print_Area" localSheetId="11">'CWM BGF'!$A$1:$BB$84</definedName>
    <definedName name="_xlnm.Print_Area" localSheetId="21">'NHI'!$A$1:$K$51</definedName>
    <definedName name="_xlnm.Print_Area" localSheetId="19">'PCS Fee Based Revenue'!$A$1:$AE$25</definedName>
    <definedName name="test" localSheetId="4">#REF!</definedName>
    <definedName name="test" localSheetId="6">#REF!</definedName>
    <definedName name="test" localSheetId="7">#REF!</definedName>
    <definedName name="test" localSheetId="8">#REF!</definedName>
    <definedName name="test" localSheetId="9">#REF!</definedName>
    <definedName name="test" localSheetId="14">#REF!</definedName>
    <definedName name="test" localSheetId="10">#REF!</definedName>
    <definedName name="test" localSheetId="11">#REF!</definedName>
    <definedName name="test">#REF!</definedName>
    <definedName name="test1" localSheetId="4">#REF!</definedName>
    <definedName name="test1" localSheetId="6">#REF!</definedName>
    <definedName name="test1" localSheetId="7">#REF!</definedName>
    <definedName name="test1" localSheetId="8">#REF!</definedName>
    <definedName name="test1" localSheetId="9">#REF!</definedName>
    <definedName name="test1" localSheetId="10">#REF!</definedName>
    <definedName name="test1" localSheetId="11">#REF!</definedName>
    <definedName name="test1">#REF!</definedName>
    <definedName name="tina" localSheetId="4">#REF!</definedName>
    <definedName name="tina" localSheetId="6">#REF!</definedName>
    <definedName name="tina" localSheetId="7">#REF!</definedName>
    <definedName name="tina" localSheetId="8">#REF!</definedName>
    <definedName name="tina" localSheetId="9">#REF!</definedName>
    <definedName name="tina" localSheetId="10">#REF!</definedName>
    <definedName name="tina" localSheetId="11">#REF!</definedName>
    <definedName name="tina">#REF!</definedName>
    <definedName name="TOP_" localSheetId="4">#REF!</definedName>
    <definedName name="TOP_" localSheetId="6">#REF!</definedName>
    <definedName name="TOP_" localSheetId="7">#REF!</definedName>
    <definedName name="TOP_" localSheetId="8">#REF!</definedName>
    <definedName name="TOP_" localSheetId="9">#REF!</definedName>
    <definedName name="TOP_" localSheetId="10">#REF!</definedName>
    <definedName name="TOP_" localSheetId="11">#REF!</definedName>
    <definedName name="TOP_">#REF!</definedName>
    <definedName name="TOPALPH" localSheetId="4">#REF!</definedName>
    <definedName name="TOPALPH" localSheetId="6">#REF!</definedName>
    <definedName name="TOPALPH" localSheetId="7">#REF!</definedName>
    <definedName name="TOPALPH" localSheetId="8">#REF!</definedName>
    <definedName name="TOPALPH" localSheetId="9">#REF!</definedName>
    <definedName name="TOPALPH" localSheetId="10">#REF!</definedName>
    <definedName name="TOPALPH" localSheetId="11">#REF!</definedName>
    <definedName name="TOPALPH">#REF!</definedName>
    <definedName name="TORONTO" localSheetId="4">#REF!</definedName>
    <definedName name="TORONTO" localSheetId="6">#REF!</definedName>
    <definedName name="TORONTO" localSheetId="7">#REF!</definedName>
    <definedName name="TORONTO" localSheetId="8">#REF!</definedName>
    <definedName name="TORONTO" localSheetId="9">#REF!</definedName>
    <definedName name="TORONTO" localSheetId="10">#REF!</definedName>
    <definedName name="TORONTO" localSheetId="11">#REF!</definedName>
    <definedName name="TORONTO">#REF!</definedName>
    <definedName name="TORPFT" localSheetId="4">#REF!</definedName>
    <definedName name="TORPFT" localSheetId="6">#REF!</definedName>
    <definedName name="TORPFT" localSheetId="7">#REF!</definedName>
    <definedName name="TORPFT" localSheetId="8">#REF!</definedName>
    <definedName name="TORPFT" localSheetId="9">#REF!</definedName>
    <definedName name="TORPFT" localSheetId="10">#REF!</definedName>
    <definedName name="TORPFT" localSheetId="11">#REF!</definedName>
    <definedName name="TORPFT">#REF!</definedName>
    <definedName name="VANPFT" localSheetId="4">#REF!</definedName>
    <definedName name="VANPFT" localSheetId="6">#REF!</definedName>
    <definedName name="VANPFT" localSheetId="7">#REF!</definedName>
    <definedName name="VANPFT" localSheetId="8">#REF!</definedName>
    <definedName name="VANPFT" localSheetId="9">#REF!</definedName>
    <definedName name="VANPFT" localSheetId="10">#REF!</definedName>
    <definedName name="VANPFT" localSheetId="11">#REF!</definedName>
    <definedName name="VANPFT">#REF!</definedName>
  </definedNames>
  <calcPr fullCalcOnLoad="1"/>
</workbook>
</file>

<file path=xl/comments20.xml><?xml version="1.0" encoding="utf-8"?>
<comments xmlns="http://schemas.openxmlformats.org/spreadsheetml/2006/main">
  <authors>
    <author>c_lee</author>
  </authors>
  <commentList>
    <comment ref="B13" authorId="0">
      <text>
        <r>
          <rPr>
            <b/>
            <sz val="8"/>
            <rFont val="Tahoma"/>
            <family val="2"/>
          </rPr>
          <t>c_lee:</t>
        </r>
        <r>
          <rPr>
            <sz val="8"/>
            <rFont val="Tahoma"/>
            <family val="2"/>
          </rPr>
          <t xml:space="preserve">
MAP fees per quarterly report from Hardeep</t>
        </r>
      </text>
    </comment>
  </commentList>
</comments>
</file>

<file path=xl/comments22.xml><?xml version="1.0" encoding="utf-8"?>
<comments xmlns="http://schemas.openxmlformats.org/spreadsheetml/2006/main">
  <authors>
    <author>c_lee</author>
  </authors>
  <commentList>
    <comment ref="E80" authorId="0">
      <text>
        <r>
          <rPr>
            <b/>
            <sz val="8"/>
            <rFont val="Tahoma"/>
            <family val="2"/>
          </rPr>
          <t>c_lee:</t>
        </r>
        <r>
          <rPr>
            <sz val="8"/>
            <rFont val="Tahoma"/>
            <family val="2"/>
          </rPr>
          <t xml:space="preserve">
translated with March rate as Co acquired in March</t>
        </r>
      </text>
    </comment>
  </commentList>
</comments>
</file>

<file path=xl/comments8.xml><?xml version="1.0" encoding="utf-8"?>
<comments xmlns="http://schemas.openxmlformats.org/spreadsheetml/2006/main">
  <authors>
    <author>c_lee</author>
  </authors>
  <commentList>
    <comment ref="AU14" authorId="0">
      <text>
        <r>
          <rPr>
            <b/>
            <sz val="8"/>
            <rFont val="Tahoma"/>
            <family val="2"/>
          </rPr>
          <t>c_lee:</t>
        </r>
        <r>
          <rPr>
            <sz val="8"/>
            <rFont val="Tahoma"/>
            <family val="2"/>
          </rPr>
          <t xml:space="preserve">
CS Dave CG US should be $99,328
Use Supp figure to be consistent with previously disclosed amount</t>
        </r>
      </text>
    </comment>
    <comment ref="AV31" authorId="0">
      <text>
        <r>
          <rPr>
            <b/>
            <sz val="8"/>
            <rFont val="Tahoma"/>
            <family val="2"/>
          </rPr>
          <t>c_lee:</t>
        </r>
        <r>
          <rPr>
            <sz val="8"/>
            <rFont val="Tahoma"/>
            <family val="2"/>
          </rPr>
          <t xml:space="preserve">
This amount is from previous Supp but does not agree to CS Dave ($31,189)</t>
        </r>
      </text>
    </comment>
  </commentList>
</comments>
</file>

<file path=xl/sharedStrings.xml><?xml version="1.0" encoding="utf-8"?>
<sst xmlns="http://schemas.openxmlformats.org/spreadsheetml/2006/main" count="3884" uniqueCount="505">
  <si>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</si>
  <si>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</si>
  <si>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</si>
  <si>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</si>
  <si>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</si>
  <si>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</si>
  <si>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</si>
  <si>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</si>
  <si>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</si>
  <si>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</si>
  <si>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</si>
  <si>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</si>
  <si>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</si>
  <si>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</si>
  <si>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Basic earnings (loss)</t>
  </si>
  <si>
    <t>Diluted earnings (loss)</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</si>
  <si>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</si>
  <si>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</si>
  <si>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</si>
  <si>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</si>
  <si>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</si>
  <si>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</si>
  <si>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</si>
  <si>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</si>
  <si>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</si>
  <si>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</si>
  <si>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</si>
  <si>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</si>
  <si>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</si>
  <si>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</si>
  <si>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</si>
  <si>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</si>
  <si>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</si>
  <si>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</si>
  <si>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</si>
  <si>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</si>
  <si>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</si>
  <si>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</si>
  <si>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</si>
  <si>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</si>
  <si>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</si>
  <si>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</si>
  <si>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</si>
  <si>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</si>
  <si>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</si>
  <si>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</si>
  <si>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</si>
  <si>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</si>
  <si>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</si>
  <si>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</si>
  <si>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</si>
  <si>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</si>
  <si>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</si>
  <si>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</si>
  <si>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</si>
  <si>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</si>
  <si>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</si>
  <si>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</si>
  <si>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</si>
  <si>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</si>
  <si>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</si>
  <si>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Canaccord Group of Companies</t>
  </si>
  <si>
    <t>Notes</t>
  </si>
  <si>
    <t>reinvestment of all dividends.</t>
  </si>
  <si>
    <t>The price to earnings multiple is calculated based on the end of period share price and 12-month trailing diluted EPS.</t>
  </si>
  <si>
    <t>Total compensation expense includes incentive compensation and salaries and benefits, but excludes hiring incentives and development group salary and benefits, which are included in development costs.</t>
  </si>
  <si>
    <t xml:space="preserve">A company listed on AIM is required to retain a Nominated Adviser (commonly referred to as Nomad) during the company's life on the market.  Nominated Advisers are responsible, amongst other duties, for warranting that </t>
  </si>
  <si>
    <t>Total</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</si>
  <si>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</si>
  <si>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</si>
  <si>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</si>
  <si>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</si>
  <si>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</si>
  <si>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</si>
  <si>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</si>
  <si>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</si>
  <si>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</si>
  <si>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</si>
  <si>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</si>
  <si>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</si>
  <si>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</si>
  <si>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</si>
  <si>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</si>
  <si>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</si>
  <si>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</si>
  <si>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</si>
  <si>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</si>
  <si>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</si>
  <si>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</si>
  <si>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</si>
  <si>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</si>
  <si>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</si>
  <si>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</si>
  <si>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</si>
  <si>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</si>
  <si>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</si>
  <si>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</si>
  <si>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Registered Traders</t>
  </si>
  <si>
    <t>Fixed Income</t>
  </si>
  <si>
    <t>Total Canada</t>
  </si>
  <si>
    <t>Number of employees</t>
  </si>
  <si>
    <t>General and administrative</t>
  </si>
  <si>
    <t>Corporate and Other segment</t>
  </si>
  <si>
    <t>Corporate and Other</t>
  </si>
  <si>
    <t>Trading costs</t>
  </si>
  <si>
    <t>Total incentive compensation</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</si>
  <si>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</si>
  <si>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</si>
  <si>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</si>
  <si>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</si>
  <si>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</si>
  <si>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</si>
  <si>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</si>
  <si>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</si>
  <si>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</si>
  <si>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</si>
  <si>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</si>
  <si>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</si>
  <si>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</si>
  <si>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</si>
  <si>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</si>
  <si>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</si>
  <si>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</si>
  <si>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</si>
  <si>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</si>
  <si>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</si>
  <si>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</si>
  <si>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</si>
  <si>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</si>
  <si>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Alliance Fees</t>
  </si>
  <si>
    <t>Bonds New Issue</t>
  </si>
  <si>
    <t>Mutual Fund</t>
  </si>
  <si>
    <t>Bonds - OTC</t>
  </si>
  <si>
    <t>Independence Fees</t>
  </si>
  <si>
    <t>Mutual Fund - PAC</t>
  </si>
  <si>
    <t>MF - Trailer Fee</t>
  </si>
  <si>
    <t>Insurance - 100% PO</t>
  </si>
  <si>
    <t>Fee based account</t>
  </si>
  <si>
    <t>Q1/10</t>
  </si>
  <si>
    <t>Q2/10</t>
  </si>
  <si>
    <t>Q3/10</t>
  </si>
  <si>
    <t>Q4/10</t>
  </si>
  <si>
    <t>FY10</t>
  </si>
  <si>
    <t>FY11</t>
  </si>
  <si>
    <t>Book Value Per Share</t>
  </si>
  <si>
    <t>Shareholder Equity per Balance Sheet</t>
  </si>
  <si>
    <t>Less: Redeemable Preferred Shares</t>
  </si>
  <si>
    <t>Diluted Book Value per Share</t>
  </si>
  <si>
    <t>FY2008</t>
  </si>
  <si>
    <t>FY2009</t>
  </si>
  <si>
    <t>(all are YTD NHI numbers in GBP)</t>
  </si>
  <si>
    <t>Q1 08 YTD</t>
  </si>
  <si>
    <t>Q2 08 YTD</t>
  </si>
  <si>
    <t>Q3 08 YTD</t>
  </si>
  <si>
    <t>Q4 08 YTD</t>
  </si>
  <si>
    <t>Sales Draws - NHI</t>
  </si>
  <si>
    <t>Syndication Salaries NHI</t>
  </si>
  <si>
    <t>Research NHI</t>
  </si>
  <si>
    <t>Corporate Finance NHI</t>
  </si>
  <si>
    <t>Dealing NHI</t>
  </si>
  <si>
    <t>average rate</t>
  </si>
  <si>
    <t>Convert to CDN$</t>
  </si>
  <si>
    <t>YTD NHI</t>
  </si>
  <si>
    <t>NHI Calculation - UK</t>
  </si>
  <si>
    <t>Annualized ROE</t>
  </si>
  <si>
    <t>FY06</t>
  </si>
  <si>
    <t>FY05</t>
  </si>
  <si>
    <t>FY04</t>
  </si>
  <si>
    <t>Quarterly NHI</t>
  </si>
  <si>
    <t>Q1 rates</t>
  </si>
  <si>
    <t>Apr</t>
  </si>
  <si>
    <t>May</t>
  </si>
  <si>
    <t>June</t>
  </si>
  <si>
    <t>Average</t>
  </si>
  <si>
    <t>UK</t>
  </si>
  <si>
    <t>Fully Diluted Number of Shares Issued &amp; O/S</t>
  </si>
  <si>
    <r>
      <t>Trading costs</t>
    </r>
    <r>
      <rPr>
        <vertAlign val="superscript"/>
        <sz val="9"/>
        <rFont val="Arial"/>
        <family val="2"/>
      </rPr>
      <t xml:space="preserve"> </t>
    </r>
  </si>
  <si>
    <t>The employee count excludes temporary employees and those on long term disability but includes employees on leave of absence.</t>
  </si>
  <si>
    <t>Q2 rates</t>
  </si>
  <si>
    <r>
      <t xml:space="preserve">US </t>
    </r>
    <r>
      <rPr>
        <vertAlign val="superscript"/>
        <sz val="9"/>
        <rFont val="Arial"/>
        <family val="2"/>
      </rPr>
      <t>(21)</t>
    </r>
  </si>
  <si>
    <t>Q2 YTD</t>
  </si>
  <si>
    <t>Q3 YTD</t>
  </si>
  <si>
    <t>Q4 YTD</t>
  </si>
  <si>
    <t>As  % of PCS Revenue</t>
  </si>
  <si>
    <t>Q3 rates</t>
  </si>
  <si>
    <t>Jul</t>
  </si>
  <si>
    <t>Aug</t>
  </si>
  <si>
    <t>Sep</t>
  </si>
  <si>
    <t>Oct</t>
  </si>
  <si>
    <t>Nov</t>
  </si>
  <si>
    <t>Dec</t>
  </si>
  <si>
    <t>Impairment of goodwill and intangibles</t>
  </si>
  <si>
    <t>Canaccord relief program</t>
  </si>
  <si>
    <t>Restructuring costs</t>
  </si>
  <si>
    <t>Q4 rates</t>
  </si>
  <si>
    <t>Jan</t>
  </si>
  <si>
    <t>Feb</t>
  </si>
  <si>
    <t>Mar</t>
  </si>
  <si>
    <t>March</t>
  </si>
  <si>
    <t>January</t>
  </si>
  <si>
    <t>February</t>
  </si>
  <si>
    <t>FY2010</t>
  </si>
  <si>
    <t>Q1 10 YTD</t>
  </si>
  <si>
    <t>Q1 09 YTD</t>
  </si>
  <si>
    <t>Q2 09 YTD</t>
  </si>
  <si>
    <t>Q3 09 YTD</t>
  </si>
  <si>
    <t>Q4 09 YTD</t>
  </si>
  <si>
    <t>Q2 10 YTD</t>
  </si>
  <si>
    <t>Q3 10 YTD</t>
  </si>
  <si>
    <t>Q4 10 YTD</t>
  </si>
  <si>
    <t>Jun 30/09</t>
  </si>
  <si>
    <t>Sep 30/09</t>
  </si>
  <si>
    <t>Dec 31/09</t>
  </si>
  <si>
    <t>Mar 30/10</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</si>
  <si>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</si>
  <si>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</si>
  <si>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</si>
  <si>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</si>
  <si>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</si>
  <si>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</si>
  <si>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</si>
  <si>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</si>
  <si>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</si>
  <si>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</si>
  <si>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</si>
  <si>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</si>
  <si>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</si>
  <si>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</si>
  <si>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Investment Banking</t>
  </si>
  <si>
    <t>Advisory Fees</t>
  </si>
  <si>
    <t>Principal Trading</t>
  </si>
  <si>
    <t>Hiring incentives</t>
  </si>
  <si>
    <t>CWM Revenue - linked</t>
  </si>
  <si>
    <t>As % of CWM Revenue</t>
  </si>
  <si>
    <t>CWM Fee Related revenue</t>
  </si>
  <si>
    <t>CWM Revenue</t>
  </si>
  <si>
    <r>
      <t xml:space="preserve">CWM Fee-related Revenue </t>
    </r>
    <r>
      <rPr>
        <vertAlign val="superscript"/>
        <sz val="10"/>
        <rFont val="Arial"/>
        <family val="2"/>
      </rPr>
      <t>(1)</t>
    </r>
  </si>
  <si>
    <t>Number of companies with Canaccord Genuity Limited as Broker</t>
  </si>
  <si>
    <t>Jun 30/10</t>
  </si>
  <si>
    <t>Sep 30/10</t>
  </si>
  <si>
    <t>Dec 31/10</t>
  </si>
  <si>
    <t>Mar 30/11</t>
  </si>
  <si>
    <t>FY2011</t>
  </si>
  <si>
    <t>-</t>
  </si>
  <si>
    <t>Loss before intersegment allocations and income taxes</t>
  </si>
  <si>
    <t>Total Nomad</t>
  </si>
  <si>
    <t xml:space="preserve">US </t>
  </si>
  <si>
    <t>h</t>
  </si>
  <si>
    <t>Development group salary and benefits have been reclassified to salaries and benefits expense line starting in Q1/11.</t>
  </si>
  <si>
    <t xml:space="preserve">Q1 11 </t>
  </si>
  <si>
    <t xml:space="preserve">Q2 11 </t>
  </si>
  <si>
    <t xml:space="preserve">Q3 11 </t>
  </si>
  <si>
    <t xml:space="preserve">Q4 11 </t>
  </si>
  <si>
    <t>Reg. Plan Fees</t>
  </si>
  <si>
    <t>PIM (CC Managed Account)</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</si>
  <si>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</si>
  <si>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</si>
  <si>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</si>
  <si>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</si>
  <si>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</si>
  <si>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</si>
  <si>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</si>
  <si>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</si>
  <si>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</si>
  <si>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</si>
  <si>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</si>
  <si>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</si>
  <si>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</si>
  <si>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</si>
  <si>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</si>
  <si>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a company is appropriate for joining AIM.  </t>
  </si>
  <si>
    <t>Trading NHI</t>
  </si>
  <si>
    <t>Jun 30/08</t>
  </si>
  <si>
    <t>Sep 30/08</t>
  </si>
  <si>
    <t>Dec 31/08</t>
  </si>
  <si>
    <t>Mar 30/09</t>
  </si>
  <si>
    <t>Q1/12</t>
  </si>
  <si>
    <t>Q4/12</t>
  </si>
  <si>
    <t>Q3/12</t>
  </si>
  <si>
    <t>Q2/12</t>
  </si>
  <si>
    <t>FY2012</t>
  </si>
  <si>
    <t>Mar 30/12</t>
  </si>
  <si>
    <t>Jun 30/11</t>
  </si>
  <si>
    <t>Sep 30/11</t>
  </si>
  <si>
    <t>Dec 31/11</t>
  </si>
  <si>
    <t>FY12</t>
  </si>
  <si>
    <t xml:space="preserve">Q1 12 </t>
  </si>
  <si>
    <t xml:space="preserve">Q2 12 </t>
  </si>
  <si>
    <t xml:space="preserve">Q3 12 </t>
  </si>
  <si>
    <t xml:space="preserve">Q4 12 </t>
  </si>
  <si>
    <t>International Financial Reporting Standards:</t>
  </si>
  <si>
    <t>Non-IFRS and Non-GAAP measures: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</si>
  <si>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</si>
  <si>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</si>
  <si>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</si>
  <si>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</si>
  <si>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This is the diluted common share number used to calculated diluted EPS.</t>
  </si>
  <si>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</si>
  <si>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</si>
  <si>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 xml:space="preserve">Total shareholder return is calculated as the change in share price plus dividends paid to common shares and special distributions paid in the current period as a percentage of the prior period's closing share price, assuming </t>
  </si>
  <si>
    <t xml:space="preserve">ROE is presented on an annualized basis. Quarterly annualized ROE is calculated by dividing the annualized net income for the three month period over the average common shareholders’ equity.  </t>
  </si>
  <si>
    <t>The price to book ratio is calculated based on the end of period share price and common shareholder's equity per diluted common share.</t>
  </si>
  <si>
    <t>US Funds Desk Salaries NI</t>
  </si>
  <si>
    <t>Sales Salaries - NI</t>
  </si>
  <si>
    <t>Accounts payable, accrued liabilities and other</t>
  </si>
  <si>
    <r>
      <t xml:space="preserve">Preferred share information </t>
    </r>
    <r>
      <rPr>
        <i/>
        <sz val="9"/>
        <rFont val="Arial"/>
        <family val="2"/>
      </rPr>
      <t>(thousands)</t>
    </r>
  </si>
  <si>
    <t>update from statement of equity</t>
  </si>
  <si>
    <t>IFRS</t>
  </si>
  <si>
    <t>CGAAP</t>
  </si>
  <si>
    <t>Number of employees in Other Foreign Locations</t>
  </si>
  <si>
    <t xml:space="preserve">Number in Canaccord Genuity </t>
  </si>
  <si>
    <t>n.m. not meaningful</t>
  </si>
  <si>
    <t>Basic earnings (loss) per common share</t>
  </si>
  <si>
    <t>Diluted earnings (loss) per common  share</t>
  </si>
  <si>
    <t>Book value per diluted common share</t>
  </si>
  <si>
    <t>Diluted earnings (loss) per common share</t>
  </si>
  <si>
    <t xml:space="preserve">As required by the Canadian Accounting Standards Board (AcSB), the Company adopted International Financial Reporting Standards (IFRS) effective April 1, 2011. Beginning the quarter ended June 30, 2011, all financial information provided are in accordance with International Financial Reporting Standards except for non-IFRS measures. Comparative financial information for the four quarters of fiscal 2011 has been restated and presented in accordance with IFRS. All financial information provided prior to Q1/11 is in accordance with Canadian Generally Accepted Accounting Principles (CGAAP).   </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</si>
  <si>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</si>
  <si>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</si>
  <si>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Net income (loss) available to common shareholders</t>
  </si>
  <si>
    <t>Non-controlling interests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</si>
  <si>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</si>
  <si>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</si>
  <si>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</si>
  <si>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</si>
  <si>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</si>
  <si>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</si>
  <si>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</si>
  <si>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</si>
  <si>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YTD</t>
  </si>
  <si>
    <t>Number of licenced professionals in Canada</t>
  </si>
  <si>
    <r>
      <t xml:space="preserve">Number of Advisory Teams in Canada </t>
    </r>
    <r>
      <rPr>
        <vertAlign val="superscript"/>
        <sz val="9"/>
        <rFont val="Arial"/>
        <family val="2"/>
      </rPr>
      <t>(19)</t>
    </r>
  </si>
  <si>
    <t>CSH NHI</t>
  </si>
  <si>
    <t>Short term credit facility</t>
  </si>
  <si>
    <t xml:space="preserve">and Canadian Corporate and Other operations. </t>
  </si>
  <si>
    <t xml:space="preserve">Canaccord’s Canadian operations include activities related to Canadian Wealth Management, capital markets activities in Canada delivered through Canaccord Genuity (a division of Canaccord Genuity Corp., our principal Canadian operating subsidiary), </t>
  </si>
  <si>
    <r>
      <t>Number of Advisory Teams in Canada</t>
    </r>
    <r>
      <rPr>
        <vertAlign val="superscript"/>
        <sz val="9"/>
        <rFont val="Arial"/>
        <family val="2"/>
      </rPr>
      <t xml:space="preserve"> (19)</t>
    </r>
  </si>
  <si>
    <r>
      <t xml:space="preserve">Assets under admin. ($ millions) - Canada </t>
    </r>
    <r>
      <rPr>
        <vertAlign val="superscript"/>
        <sz val="9"/>
        <rFont val="Arial"/>
        <family val="2"/>
      </rPr>
      <t>(2)</t>
    </r>
  </si>
  <si>
    <r>
      <t>Number of investment professionals and fund managers in UK and Europe</t>
    </r>
    <r>
      <rPr>
        <b/>
        <i/>
        <vertAlign val="superscript"/>
        <sz val="9"/>
        <rFont val="Arial"/>
        <family val="2"/>
      </rPr>
      <t>(31)</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</si>
  <si>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</si>
  <si>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</si>
  <si>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</si>
  <si>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</si>
  <si>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</si>
  <si>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</si>
  <si>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</si>
  <si>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t>Preferred share dividends</t>
  </si>
  <si>
    <t>Results of former Collins Stewart Hawkpoint ("CSHP") entities are included since March 22, 2012</t>
  </si>
  <si>
    <t xml:space="preserve">Total </t>
  </si>
  <si>
    <t>Investment professionals include all staff with direct sales responsibilities, which include brokers and assistants with direct client contacts. Fund managers include all staff who manages client assets.</t>
  </si>
  <si>
    <t>Canaccord’s UK and Europe operations include activities related to capital markets and wealth management activities in the United Kingdom and Europe. Operating results from former CSHP entities have been included since March 22, 2012.</t>
  </si>
  <si>
    <t>Significant items include ABCP fair value adjustment, Canaccord relief program, restructuring costs, and acquisition-related expense items.  Acquisition-related expense items include acquisition-related costs and amortization of intangible assets.</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</si>
  <si>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</si>
  <si>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</si>
  <si>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</si>
  <si>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</si>
  <si>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</si>
  <si>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</si>
  <si>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</si>
  <si>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</si>
  <si>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</si>
  <si>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</si>
  <si>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</si>
  <si>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</si>
  <si>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</si>
  <si>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</si>
  <si>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FY2013</t>
  </si>
  <si>
    <t>FY13</t>
  </si>
  <si>
    <t>Q1 13</t>
  </si>
  <si>
    <t>Q2 13</t>
  </si>
  <si>
    <t>Q3 13</t>
  </si>
  <si>
    <t>Q4 13</t>
  </si>
  <si>
    <t>Jun 30/12</t>
  </si>
  <si>
    <t>Sep 30/12</t>
  </si>
  <si>
    <t>Dec 31/12</t>
  </si>
  <si>
    <t>Mar 30/13</t>
  </si>
  <si>
    <t>CWM North America &amp; OFL</t>
  </si>
  <si>
    <t>Salaries - NI (from John Reid)</t>
  </si>
  <si>
    <t>Number of Advisors - Australia</t>
  </si>
  <si>
    <r>
      <t>Assets under mgmt. - Australia</t>
    </r>
    <r>
      <rPr>
        <vertAlign val="superscript"/>
        <sz val="9"/>
        <rFont val="Arial"/>
        <family val="2"/>
      </rPr>
      <t xml:space="preserve"> (2)</t>
    </r>
  </si>
  <si>
    <r>
      <t xml:space="preserve">Assets under mgmt. ($millions) - Australia </t>
    </r>
    <r>
      <rPr>
        <vertAlign val="superscript"/>
        <sz val="9"/>
        <rFont val="Arial"/>
        <family val="2"/>
      </rPr>
      <t xml:space="preserve">(2) </t>
    </r>
  </si>
  <si>
    <r>
      <t xml:space="preserve">Assets under mgmt. ($ millions) - Australia </t>
    </r>
    <r>
      <rPr>
        <vertAlign val="superscript"/>
        <sz val="9"/>
        <rFont val="Arial"/>
        <family val="2"/>
      </rPr>
      <t>(2)</t>
    </r>
  </si>
  <si>
    <r>
      <rPr>
        <b/>
        <i/>
        <sz val="12"/>
        <rFont val="Arial"/>
        <family val="2"/>
      </rPr>
      <t>Condensed Statement of Operations</t>
    </r>
    <r>
      <rPr>
        <sz val="9"/>
        <rFont val="Arial"/>
        <family val="2"/>
      </rPr>
      <t xml:space="preserve"> </t>
    </r>
  </si>
  <si>
    <t>been recognized, which represents the portion of the net identifiable assets in Australia since November 1, 2011 attributable to non-contolling shareholders.  Canaccord BGF was rebranded to Canaccord Genuity</t>
  </si>
  <si>
    <t xml:space="preserve">managed and administered by Canaccord, from which Canaccord earns commissions or fees.  </t>
  </si>
  <si>
    <t>Australia</t>
  </si>
  <si>
    <t>FY13 vs FY12</t>
  </si>
  <si>
    <r>
      <t xml:space="preserve">Non-controlling interests </t>
    </r>
    <r>
      <rPr>
        <vertAlign val="superscript"/>
        <sz val="9"/>
        <rFont val="Arial"/>
        <family val="2"/>
      </rPr>
      <t>(28)</t>
    </r>
  </si>
  <si>
    <r>
      <t>Facilitation losses</t>
    </r>
    <r>
      <rPr>
        <vertAlign val="superscript"/>
        <sz val="9"/>
        <rFont val="Arial"/>
        <family val="2"/>
      </rPr>
      <t xml:space="preserve"> (26)</t>
    </r>
  </si>
  <si>
    <r>
      <t>Facilitation losses</t>
    </r>
    <r>
      <rPr>
        <vertAlign val="superscript"/>
        <sz val="9"/>
        <rFont val="Arial"/>
        <family val="2"/>
      </rPr>
      <t xml:space="preserve"> (28)</t>
    </r>
  </si>
  <si>
    <r>
      <t>Total compensation exp. as % of revenue</t>
    </r>
    <r>
      <rPr>
        <vertAlign val="superscript"/>
        <sz val="9"/>
        <rFont val="Arial"/>
        <family val="2"/>
      </rPr>
      <t xml:space="preserve"> (15) </t>
    </r>
  </si>
  <si>
    <r>
      <t xml:space="preserve">Number of employees firm wide </t>
    </r>
    <r>
      <rPr>
        <vertAlign val="superscript"/>
        <sz val="9"/>
        <rFont val="Arial"/>
        <family val="2"/>
      </rPr>
      <t>(23)</t>
    </r>
  </si>
  <si>
    <r>
      <t xml:space="preserve">Number of companies with Canaccord Genuity Limited as Nomad </t>
    </r>
    <r>
      <rPr>
        <vertAlign val="superscript"/>
        <sz val="9"/>
        <rFont val="Arial"/>
        <family val="2"/>
      </rPr>
      <t>(22)</t>
    </r>
  </si>
  <si>
    <t>Consolidated statement of financial position</t>
  </si>
  <si>
    <r>
      <rPr>
        <b/>
        <i/>
        <sz val="12"/>
        <rFont val="Arial"/>
        <family val="2"/>
      </rPr>
      <t>Condensed Statement of Operations</t>
    </r>
    <r>
      <rPr>
        <sz val="9"/>
        <rFont val="Arial"/>
        <family val="2"/>
      </rPr>
      <t xml:space="preserve"> </t>
    </r>
    <r>
      <rPr>
        <vertAlign val="superscript"/>
        <sz val="9"/>
        <rFont val="Arial"/>
        <family val="2"/>
      </rPr>
      <t>(29)</t>
    </r>
  </si>
  <si>
    <r>
      <t xml:space="preserve">      National Insurance tax </t>
    </r>
    <r>
      <rPr>
        <vertAlign val="superscript"/>
        <sz val="9"/>
        <rFont val="Arial"/>
        <family val="2"/>
      </rPr>
      <t>(14)</t>
    </r>
  </si>
  <si>
    <t>number of Advisors, number of investment professionals and fund managers, and number of licensed professionals.</t>
  </si>
  <si>
    <t>Assets under administration in the UK and Europe is the market value of client assets managed and administered by Canaccord, from which Canaccord earns commissions or fees.  This measure includes both discretionary and non-discretionary accounts.</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</si>
  <si>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</si>
  <si>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</si>
  <si>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</si>
  <si>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</si>
  <si>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</si>
  <si>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 xml:space="preserve">           Non-share based incentive compensation</t>
  </si>
  <si>
    <t xml:space="preserve">           Share based incentive compensation </t>
  </si>
  <si>
    <t>Note: Please find notes on Page 13.</t>
  </si>
  <si>
    <t>9 Months Ended</t>
  </si>
  <si>
    <t>Commissions and fees</t>
  </si>
  <si>
    <t>Canaccord Genuity generates commission revenue only.</t>
  </si>
  <si>
    <t>f.f.</t>
  </si>
  <si>
    <t>WM NHI</t>
  </si>
  <si>
    <t>Canaccord Genuity Wealth Management North America and Australia</t>
  </si>
  <si>
    <t>Canaccord Genuity Wealth Management UK and Europe</t>
  </si>
  <si>
    <t>Canaccord Genuity Wealth Management</t>
  </si>
  <si>
    <t xml:space="preserve">Canaccord Genuity Wealth Management North America and Australia statement of operations </t>
  </si>
  <si>
    <t xml:space="preserve">Canaccord Genuity Wealth Management UK and Europe statement of operations </t>
  </si>
  <si>
    <t>Canaccord’s US operations include activities related to US Wealth Management, delivered through Canaccord Genuity Wealth Management (USA), Inc., and US capital markets operations, delivered through Canaccord Genuity Inc. and Canaccord Securities LLC.</t>
  </si>
  <si>
    <t xml:space="preserve">US Other operations, also delivered through Canaccord Genuity Wealth Management (USA), Inc., include revenue and expenses not specifically allocable to US Canaccord Genuity Wealth Management and US Canaccord Genuity. </t>
  </si>
  <si>
    <t>and Canaccord Genuity Wealth Management starting on July 16, 2012.</t>
  </si>
  <si>
    <t>Intersegment allocations from Corporate and Other</t>
  </si>
  <si>
    <t>Number in Canaccord Genuity Wealth Management</t>
  </si>
  <si>
    <r>
      <t>Results of former CSHP entities are included since March 22, 2012</t>
    </r>
    <r>
      <rPr>
        <i/>
        <vertAlign val="superscript"/>
        <sz val="10"/>
        <rFont val="Arial"/>
        <family val="2"/>
      </rPr>
      <t xml:space="preserve"> (31)</t>
    </r>
  </si>
  <si>
    <t>Result of former CSHP Wealth Management group since March 22, 2012 and the wealth management business of Eden Financial Ltd. since October 1, 2012 are included.</t>
  </si>
  <si>
    <t>Don MacFayden</t>
  </si>
  <si>
    <t>Senior Vice President, Finance</t>
  </si>
  <si>
    <t>416-687-5426</t>
  </si>
  <si>
    <t>includes WM: UK Private Clients departments and Eden NI</t>
  </si>
  <si>
    <t>Q1/14</t>
  </si>
  <si>
    <t>Q1/14 vs. Q1/13</t>
  </si>
  <si>
    <t>Q2/14</t>
  </si>
  <si>
    <t>Q3/14</t>
  </si>
  <si>
    <t>Q4/14</t>
  </si>
  <si>
    <t>FY2014</t>
  </si>
  <si>
    <t>Jun 30/13</t>
  </si>
  <si>
    <t>Sep 30/13</t>
  </si>
  <si>
    <t>Dec 31/13</t>
  </si>
  <si>
    <t>Mar 30/14</t>
  </si>
  <si>
    <t>Q1 14</t>
  </si>
  <si>
    <t>Q2 14</t>
  </si>
  <si>
    <t>Q3 14</t>
  </si>
  <si>
    <t>Q4 14</t>
  </si>
  <si>
    <t>Support services allocation</t>
  </si>
  <si>
    <t>Inter-segment profit allocation</t>
  </si>
  <si>
    <t>Research allocation</t>
  </si>
  <si>
    <t>Trade processing</t>
  </si>
  <si>
    <t>Income (loss) before charges and income taxes</t>
  </si>
  <si>
    <t>Charges to UK</t>
  </si>
  <si>
    <t>Charges to US</t>
  </si>
  <si>
    <t>Charges from Canada</t>
  </si>
  <si>
    <t>Charges from US</t>
  </si>
  <si>
    <r>
      <t xml:space="preserve">      Incentive compensation </t>
    </r>
    <r>
      <rPr>
        <vertAlign val="superscript"/>
        <sz val="9"/>
        <rFont val="Arial"/>
        <family val="2"/>
      </rPr>
      <t>(14)</t>
    </r>
  </si>
  <si>
    <t>Intersegment allocations</t>
  </si>
  <si>
    <t>Canaccord Genuity Canada</t>
  </si>
  <si>
    <t xml:space="preserve">     Non-share based incentive compensation</t>
  </si>
  <si>
    <t xml:space="preserve">     Share based incentive compensation</t>
  </si>
  <si>
    <t>Intersegment Allocations</t>
  </si>
  <si>
    <t>Share based compensation as a % of revenue</t>
  </si>
  <si>
    <t>Income (loss) after intersegment allocations and before income taxes</t>
  </si>
  <si>
    <t xml:space="preserve">    Non-share based incentive compentation</t>
  </si>
  <si>
    <t xml:space="preserve">    Share based incentive compensation</t>
  </si>
  <si>
    <t>Capital Markets US</t>
  </si>
  <si>
    <t xml:space="preserve">Canaccord Genuity Wealth Management North America </t>
  </si>
  <si>
    <t xml:space="preserve">       Canaccord Genuity Canada statement of operations</t>
  </si>
  <si>
    <t xml:space="preserve">       Canaccord Genuity UK and Europe statement of operations</t>
  </si>
  <si>
    <t xml:space="preserve">Canaccord Genuity Other Foreign Locations statement of operations </t>
  </si>
  <si>
    <t xml:space="preserve">       Canaccord Genuity US statement of operations</t>
  </si>
  <si>
    <t>Canaccord Genuity UK and Europe</t>
  </si>
  <si>
    <t>Canaccord Genuity US</t>
  </si>
  <si>
    <t>Includes wealth management operations in Australia.  Results for wealth management operations in Australia have been included starting April 1, 2012.</t>
  </si>
  <si>
    <t xml:space="preserve">Fee-based revenue includes fees earned in separately managed, advisor managed and fee-based accounts.  We are also including mutual fund and segregated fund trailer revenue in this calculation.  This method of calculating fee-based revenue may differ from approaches used by other companies and therefore may not be comparable.  </t>
  </si>
  <si>
    <t>Long term incentive compensation holdback expense has been reclassified from share-based compensation expense to non-share based compensation expense commencing Q1/14.</t>
  </si>
  <si>
    <r>
      <t xml:space="preserve">Non-controlling interests </t>
    </r>
    <r>
      <rPr>
        <vertAlign val="superscript"/>
        <sz val="9"/>
        <rFont val="Arial"/>
        <family val="2"/>
      </rPr>
      <t>(26)</t>
    </r>
  </si>
  <si>
    <r>
      <rPr>
        <b/>
        <i/>
        <sz val="12"/>
        <rFont val="Arial"/>
        <family val="2"/>
      </rPr>
      <t>Condensed Consolidated Statement of Operations</t>
    </r>
    <r>
      <rPr>
        <sz val="9"/>
        <rFont val="Arial"/>
        <family val="2"/>
      </rPr>
      <t xml:space="preserve"> </t>
    </r>
    <r>
      <rPr>
        <vertAlign val="superscript"/>
        <sz val="9"/>
        <rFont val="Arial"/>
        <family val="2"/>
      </rPr>
      <t>(26)</t>
    </r>
  </si>
  <si>
    <r>
      <t xml:space="preserve">Other Foreign Locations </t>
    </r>
    <r>
      <rPr>
        <vertAlign val="superscript"/>
        <sz val="9"/>
        <rFont val="Arial"/>
        <family val="2"/>
      </rPr>
      <t>(25)</t>
    </r>
  </si>
  <si>
    <r>
      <rPr>
        <b/>
        <i/>
        <sz val="12"/>
        <rFont val="Arial"/>
        <family val="2"/>
      </rPr>
      <t>Condensed Statement of Operations</t>
    </r>
    <r>
      <rPr>
        <sz val="9"/>
        <rFont val="Arial"/>
        <family val="2"/>
      </rPr>
      <t xml:space="preserve"> </t>
    </r>
    <r>
      <rPr>
        <vertAlign val="superscript"/>
        <sz val="9"/>
        <rFont val="Arial"/>
        <family val="2"/>
      </rPr>
      <t>(26)(27)</t>
    </r>
  </si>
  <si>
    <r>
      <t xml:space="preserve">Commissions and fees </t>
    </r>
    <r>
      <rPr>
        <vertAlign val="superscript"/>
        <sz val="9"/>
        <rFont val="Arial"/>
        <family val="2"/>
      </rPr>
      <t>(30)</t>
    </r>
  </si>
  <si>
    <r>
      <t>Facilitation losses</t>
    </r>
    <r>
      <rPr>
        <vertAlign val="superscript"/>
        <sz val="9"/>
        <rFont val="Arial"/>
        <family val="2"/>
      </rPr>
      <t xml:space="preserve"> (24)</t>
    </r>
  </si>
  <si>
    <r>
      <t xml:space="preserve">Investment professionals and fund managers in UK and Europe </t>
    </r>
    <r>
      <rPr>
        <vertAlign val="superscript"/>
        <sz val="9"/>
        <rFont val="Arial"/>
        <family val="2"/>
      </rPr>
      <t>(28)</t>
    </r>
  </si>
  <si>
    <r>
      <t xml:space="preserve">Results of former CSHP entities are included since March 22, 2012 </t>
    </r>
    <r>
      <rPr>
        <i/>
        <vertAlign val="superscript"/>
        <sz val="10"/>
        <rFont val="Arial"/>
        <family val="2"/>
      </rPr>
      <t>(29)</t>
    </r>
  </si>
  <si>
    <r>
      <t xml:space="preserve">Condensed Consolidated Statement of Financial Position </t>
    </r>
    <r>
      <rPr>
        <b/>
        <i/>
        <vertAlign val="superscript"/>
        <sz val="12"/>
        <rFont val="Arial"/>
        <family val="2"/>
      </rPr>
      <t xml:space="preserve">(26) </t>
    </r>
  </si>
  <si>
    <t>FY14 vs FY13</t>
  </si>
  <si>
    <t>Q2/11 vs. Q2/10</t>
  </si>
  <si>
    <t>Income (Loss) before income taxes</t>
  </si>
  <si>
    <t>Canaccord Genuity Group Inc.</t>
  </si>
  <si>
    <t>Net income (loss) attributable to CGGI shareholders</t>
  </si>
  <si>
    <t>Net income attributable to CGGI shareholders</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</si>
  <si>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 xml:space="preserve">Complete Canaccord Private Investment Management </t>
    </r>
  </si>
  <si>
    <r>
      <rPr>
        <i/>
        <sz val="11"/>
        <rFont val="Arial"/>
        <family val="2"/>
      </rPr>
      <t xml:space="preserve">Program </t>
    </r>
    <r>
      <rPr>
        <sz val="11"/>
        <rFont val="Arial"/>
        <family val="2"/>
      </rPr>
      <t xml:space="preserve">offered by Canaccord. Assets under administration in Canada is the market value of client assets administered by Canaccord, from which Canaccord earns commissions or fees.  Assets under management in Australia is the market value of client assets </t>
    </r>
  </si>
  <si>
    <t>Condensed Statement of Operations</t>
  </si>
  <si>
    <r>
      <t xml:space="preserve">Condensed Statement of Operations </t>
    </r>
    <r>
      <rPr>
        <b/>
        <i/>
        <vertAlign val="superscript"/>
        <sz val="12"/>
        <rFont val="Arial"/>
        <family val="2"/>
      </rPr>
      <t>(25)(26)(27)</t>
    </r>
  </si>
  <si>
    <t xml:space="preserve">Book value per diluted share is calculated as total common shareholders' equity divided by the number of diluted shares outstanding and commencing in Q1/14 adjusted for shares purchased under the normal course issuer bid and not yet cancelled, and estimated forfeitures in respect of unvested share awards under share-based payment plans. </t>
  </si>
  <si>
    <t>Certain non-IFRS and non-GAAP measures are utilized by the Company as measures of financial performance. Non-IFRS and non-GAAP measures do not have any standardized meaning prescribed by IFRS and are therefore unlikely to be comparable to similar measures presented by other companies.  Non-IFRS and non-GAAP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</si>
  <si>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r>
      <t xml:space="preserve">WM Fee-related revenue </t>
    </r>
    <r>
      <rPr>
        <vertAlign val="superscript"/>
        <sz val="9"/>
        <rFont val="Arial"/>
        <family val="2"/>
      </rPr>
      <t>(18)</t>
    </r>
  </si>
  <si>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</si>
  <si>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</si>
  <si>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</si>
  <si>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This is the diluted common share number used to calculate book value per diluted share; includes amounts in respect of unvested share awards pursuant to share-based payment plans and, commencing in Q1/14, adjusted for shares purchased under the normal course issuer bid and not yet cancelled, and estimated forfeitures in respect of unvested share awards under share-based payment plans.</t>
  </si>
  <si>
    <t>Q3/14 vs. Q3/13</t>
  </si>
  <si>
    <t>Third Quarter Fiscal 2014</t>
  </si>
  <si>
    <t>For the period ended December 31, 2013</t>
  </si>
  <si>
    <t>This document is not audited and should be read in conjunction with the Third Quarter Fiscal 2014 Quarterly Report to the Shareholders (unaudited) dated February 5, 2014, and the Annual Report dated May 21, 2013. Canaccord's fiscal year end is defined as March 31st of each year. Canaccord's third quarter 2014 ended December 31, 2013 is also referred to as Q3/14 in the following disclosure.</t>
  </si>
  <si>
    <t>Asia, our 50% interest in Canaccord Genuity (Australia) Limited (formerly Canaccord BGF), and Canaccord Singapore Pte. Ltd. Operating results of Canaccord Singapore Pte. Ltd have been included since March 22, 2012.</t>
  </si>
  <si>
    <t>Canaccord Genuity Other Foreign Locations (Canaccord Genuity (Barbados) Ltd., Canaccord Genuity Asia, Canaccord Genuity (Australia) Limited &amp; Canaccord Genuity Singapore Pte. Ltd)</t>
  </si>
  <si>
    <t>Revenue derived from capital markets activity outside of Canada, the US and UK and Europe is reported as Other Foreign Locations, which includes revenue from Canaccord Genuity (Barbados) Ltd. (formerly Canaccord International Ltd.), Canaccord Genuity</t>
  </si>
  <si>
    <r>
      <t xml:space="preserve">In accordance with IAS 27 </t>
    </r>
    <r>
      <rPr>
        <i/>
        <sz val="11"/>
        <rFont val="Arial"/>
        <family val="2"/>
      </rPr>
      <t>"Consolidated and separate financial statements"</t>
    </r>
    <r>
      <rPr>
        <sz val="11"/>
        <rFont val="Arial"/>
        <family val="2"/>
      </rPr>
      <t xml:space="preserve">, the financial position, operating results and cash flows of Canaccord Genuity and Wealth Management's operations in Australia are fully consolidated, and a 50% non-controlling interest has </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</si>
</sst>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0\);\-&quot; &quot;"/>
    <numFmt numFmtId="186" formatCode="#,##0;\(#,##0\);&quot;-&quot;"/>
    <numFmt numFmtId="187" formatCode="_(* #,##0_);_(* \(#,##0\);_(* &quot;-&quot;??_);_(@_)"/>
    <numFmt numFmtId="188" formatCode="_-* #,##0.0000_-;\-* #,##0.0000_-;_-* &quot;-&quot;??_-;_-@_-"/>
    <numFmt numFmtId="189" formatCode="[$-F800]dddd\,\ mmmm\ dd\,\ yyyy"/>
    <numFmt numFmtId="190" formatCode="0.0000"/>
    <numFmt numFmtId="191" formatCode="0.00_);\(0.00\)"/>
    <numFmt numFmtId="192" formatCode="#,##0.00;[Red]\(#,##0.00\)"/>
    <numFmt numFmtId="193" formatCode="0_);\(0\)"/>
    <numFmt numFmtId="194" formatCode="0.000_);\(0.000\)"/>
    <numFmt numFmtId="195" formatCode="_-* #,##0.000_-;\-* #,##0.000_-;_-* &quot;-&quot;??_-;_-@_-"/>
    <numFmt numFmtId="196" formatCode="_(* #,##0.000_);_(* \(#,##0.000\);_(* &quot;-&quot;??_);_(@_)"/>
    <numFmt numFmtId="197" formatCode="_(* #,##0.0_);_(* \(#,##0.0\);_(* &quot;-&quot;??_);_(@_)"/>
    <numFmt numFmtId="198" formatCode="_(* #,##0.0000_);_(* \(#,##0.0000\);_(* &quot;-&quot;??_);_(@_)"/>
    <numFmt numFmtId="199" formatCode="#,##0.00\ ;\(#,##0.0\);\-&quot; &quot;"/>
    <numFmt numFmtId="200" formatCode="0%;\(0\)%;_(&quot;-&quot;"/>
    <numFmt numFmtId="201" formatCode="[$-409]dddd\,\ mmmm\ dd\,\ yyyy"/>
    <numFmt numFmtId="202" formatCode="[$-1009]mmmm\-dd\-yy"/>
  </numFmts>
  <fonts count="117">
    <font>
      <sz val="10"/>
      <name val="Arial"/>
      <family val="0"/>
    </font>
    <font>
      <sz val="10"/>
      <color indexed="8"/>
      <name val="Franklin Gothic Book"/>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sz val="9"/>
      <color indexed="10"/>
      <name val="Arial"/>
      <family val="2"/>
    </font>
    <font>
      <sz val="8"/>
      <name val="Tahoma"/>
      <family val="2"/>
    </font>
    <font>
      <b/>
      <sz val="12"/>
      <name val="Arial"/>
      <family val="2"/>
    </font>
    <font>
      <b/>
      <i/>
      <vertAlign val="superscript"/>
      <sz val="12"/>
      <name val="Arial"/>
      <family val="2"/>
    </font>
    <font>
      <b/>
      <i/>
      <sz val="10"/>
      <name val="Arial"/>
      <family val="2"/>
    </font>
    <font>
      <vertAlign val="superscript"/>
      <sz val="10"/>
      <name val="Arial"/>
      <family val="2"/>
    </font>
    <font>
      <b/>
      <sz val="8"/>
      <name val="Arial"/>
      <family val="2"/>
    </font>
    <font>
      <i/>
      <sz val="10"/>
      <name val="Arial"/>
      <family val="2"/>
    </font>
    <font>
      <b/>
      <sz val="9"/>
      <color indexed="12"/>
      <name val="Arial"/>
      <family val="2"/>
    </font>
    <font>
      <sz val="9"/>
      <color indexed="12"/>
      <name val="Arial"/>
      <family val="2"/>
    </font>
    <font>
      <sz val="9"/>
      <color indexed="63"/>
      <name val="Arial"/>
      <family val="2"/>
    </font>
    <font>
      <b/>
      <sz val="8"/>
      <name val="Tahoma"/>
      <family val="2"/>
    </font>
    <font>
      <sz val="9"/>
      <name val="Times New Roman"/>
      <family val="1"/>
    </font>
    <font>
      <b/>
      <i/>
      <vertAlign val="superscript"/>
      <sz val="9"/>
      <name val="Arial"/>
      <family val="2"/>
    </font>
    <font>
      <i/>
      <sz val="11"/>
      <name val="Arial"/>
      <family val="2"/>
    </font>
    <font>
      <i/>
      <vertAlign val="superscrip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Franklin Gothic Book"/>
      <family val="2"/>
    </font>
    <font>
      <sz val="10"/>
      <color indexed="20"/>
      <name val="Franklin Gothic Book"/>
      <family val="2"/>
    </font>
    <font>
      <b/>
      <sz val="10"/>
      <color indexed="52"/>
      <name val="Franklin Gothic Book"/>
      <family val="2"/>
    </font>
    <font>
      <b/>
      <sz val="10"/>
      <color indexed="9"/>
      <name val="Franklin Gothic Book"/>
      <family val="2"/>
    </font>
    <font>
      <i/>
      <sz val="10"/>
      <color indexed="23"/>
      <name val="Franklin Gothic Book"/>
      <family val="2"/>
    </font>
    <font>
      <sz val="10"/>
      <color indexed="17"/>
      <name val="Franklin Gothic Book"/>
      <family val="2"/>
    </font>
    <font>
      <b/>
      <sz val="15"/>
      <color indexed="56"/>
      <name val="Franklin Gothic Book"/>
      <family val="2"/>
    </font>
    <font>
      <b/>
      <sz val="13"/>
      <color indexed="56"/>
      <name val="Franklin Gothic Book"/>
      <family val="2"/>
    </font>
    <font>
      <b/>
      <sz val="11"/>
      <color indexed="56"/>
      <name val="Franklin Gothic Book"/>
      <family val="2"/>
    </font>
    <font>
      <sz val="10"/>
      <color indexed="62"/>
      <name val="Franklin Gothic Book"/>
      <family val="2"/>
    </font>
    <font>
      <sz val="10"/>
      <color indexed="52"/>
      <name val="Franklin Gothic Book"/>
      <family val="2"/>
    </font>
    <font>
      <sz val="10"/>
      <color indexed="60"/>
      <name val="Franklin Gothic Book"/>
      <family val="2"/>
    </font>
    <font>
      <b/>
      <sz val="10"/>
      <color indexed="63"/>
      <name val="Franklin Gothic Book"/>
      <family val="2"/>
    </font>
    <font>
      <b/>
      <sz val="10"/>
      <color indexed="8"/>
      <name val="Franklin Gothic Book"/>
      <family val="2"/>
    </font>
    <font>
      <sz val="10"/>
      <color indexed="10"/>
      <name val="Franklin Gothic Book"/>
      <family val="2"/>
    </font>
    <font>
      <sz val="10"/>
      <color indexed="10"/>
      <name val="Arial"/>
      <family val="2"/>
    </font>
    <font>
      <b/>
      <sz val="10"/>
      <color indexed="10"/>
      <name val="Arial"/>
      <family val="2"/>
    </font>
    <font>
      <sz val="9"/>
      <color indexed="13"/>
      <name val="Arial"/>
      <family val="2"/>
    </font>
    <font>
      <sz val="10"/>
      <color indexed="8"/>
      <name val="Calibri"/>
      <family val="2"/>
    </font>
    <font>
      <sz val="11"/>
      <color theme="1"/>
      <name val="Calibri"/>
      <family val="2"/>
    </font>
    <font>
      <sz val="10"/>
      <color theme="1"/>
      <name val="Franklin Gothic Book"/>
      <family val="2"/>
    </font>
    <font>
      <sz val="11"/>
      <color theme="0"/>
      <name val="Calibri"/>
      <family val="2"/>
    </font>
    <font>
      <sz val="10"/>
      <color theme="0"/>
      <name val="Franklin Gothic Book"/>
      <family val="2"/>
    </font>
    <font>
      <sz val="11"/>
      <color rgb="FF9C0006"/>
      <name val="Calibri"/>
      <family val="2"/>
    </font>
    <font>
      <sz val="10"/>
      <color rgb="FF9C0006"/>
      <name val="Franklin Gothic Book"/>
      <family val="2"/>
    </font>
    <font>
      <b/>
      <sz val="11"/>
      <color rgb="FFFA7D00"/>
      <name val="Calibri"/>
      <family val="2"/>
    </font>
    <font>
      <b/>
      <sz val="10"/>
      <color rgb="FFFA7D00"/>
      <name val="Franklin Gothic Book"/>
      <family val="2"/>
    </font>
    <font>
      <b/>
      <sz val="11"/>
      <color theme="0"/>
      <name val="Calibri"/>
      <family val="2"/>
    </font>
    <font>
      <b/>
      <sz val="10"/>
      <color theme="0"/>
      <name val="Franklin Gothic Book"/>
      <family val="2"/>
    </font>
    <font>
      <i/>
      <sz val="11"/>
      <color rgb="FF7F7F7F"/>
      <name val="Calibri"/>
      <family val="2"/>
    </font>
    <font>
      <i/>
      <sz val="10"/>
      <color rgb="FF7F7F7F"/>
      <name val="Franklin Gothic Book"/>
      <family val="2"/>
    </font>
    <font>
      <sz val="11"/>
      <color rgb="FF006100"/>
      <name val="Calibri"/>
      <family val="2"/>
    </font>
    <font>
      <sz val="10"/>
      <color rgb="FF006100"/>
      <name val="Franklin Gothic Book"/>
      <family val="2"/>
    </font>
    <font>
      <b/>
      <sz val="15"/>
      <color theme="3"/>
      <name val="Calibri"/>
      <family val="2"/>
    </font>
    <font>
      <b/>
      <sz val="15"/>
      <color theme="3"/>
      <name val="Franklin Gothic Book"/>
      <family val="2"/>
    </font>
    <font>
      <b/>
      <sz val="13"/>
      <color theme="3"/>
      <name val="Calibri"/>
      <family val="2"/>
    </font>
    <font>
      <b/>
      <sz val="13"/>
      <color theme="3"/>
      <name val="Franklin Gothic Book"/>
      <family val="2"/>
    </font>
    <font>
      <b/>
      <sz val="11"/>
      <color theme="3"/>
      <name val="Calibri"/>
      <family val="2"/>
    </font>
    <font>
      <b/>
      <sz val="11"/>
      <color theme="3"/>
      <name val="Franklin Gothic Book"/>
      <family val="2"/>
    </font>
    <font>
      <sz val="11"/>
      <color rgb="FF3F3F76"/>
      <name val="Calibri"/>
      <family val="2"/>
    </font>
    <font>
      <sz val="10"/>
      <color rgb="FF3F3F76"/>
      <name val="Franklin Gothic Book"/>
      <family val="2"/>
    </font>
    <font>
      <sz val="11"/>
      <color rgb="FFFA7D00"/>
      <name val="Calibri"/>
      <family val="2"/>
    </font>
    <font>
      <sz val="10"/>
      <color rgb="FFFA7D00"/>
      <name val="Franklin Gothic Book"/>
      <family val="2"/>
    </font>
    <font>
      <sz val="11"/>
      <color rgb="FF9C6500"/>
      <name val="Calibri"/>
      <family val="2"/>
    </font>
    <font>
      <sz val="10"/>
      <color rgb="FF9C6500"/>
      <name val="Franklin Gothic Book"/>
      <family val="2"/>
    </font>
    <font>
      <sz val="10"/>
      <color theme="1"/>
      <name val="Tahoma"/>
      <family val="2"/>
    </font>
    <font>
      <b/>
      <sz val="11"/>
      <color rgb="FF3F3F3F"/>
      <name val="Calibri"/>
      <family val="2"/>
    </font>
    <font>
      <b/>
      <sz val="10"/>
      <color rgb="FF3F3F3F"/>
      <name val="Franklin Gothic Book"/>
      <family val="2"/>
    </font>
    <font>
      <b/>
      <sz val="18"/>
      <color theme="3"/>
      <name val="Cambria"/>
      <family val="2"/>
    </font>
    <font>
      <b/>
      <sz val="11"/>
      <color theme="1"/>
      <name val="Calibri"/>
      <family val="2"/>
    </font>
    <font>
      <b/>
      <sz val="10"/>
      <color theme="1"/>
      <name val="Franklin Gothic Book"/>
      <family val="2"/>
    </font>
    <font>
      <sz val="11"/>
      <color rgb="FFFF0000"/>
      <name val="Calibri"/>
      <family val="2"/>
    </font>
    <font>
      <sz val="10"/>
      <color rgb="FFFF0000"/>
      <name val="Franklin Gothic Book"/>
      <family val="2"/>
    </font>
    <font>
      <sz val="10"/>
      <color rgb="FFFF0000"/>
      <name val="Arial"/>
      <family val="2"/>
    </font>
    <font>
      <b/>
      <sz val="10"/>
      <color rgb="FFFF0000"/>
      <name val="Arial"/>
      <family val="2"/>
    </font>
    <font>
      <sz val="9"/>
      <color rgb="FFFFFF00"/>
      <name val="Arial"/>
      <family val="2"/>
    </font>
    <font>
      <sz val="10"/>
      <color rgb="FF000000"/>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style="thin"/>
      <top style="thin"/>
      <bottom/>
    </border>
    <border>
      <left style="medium"/>
      <right style="thin"/>
      <top/>
      <bottom/>
    </border>
    <border>
      <left style="medium"/>
      <right style="thin"/>
      <top/>
      <bottom style="thin"/>
    </border>
    <border>
      <left style="medium"/>
      <right/>
      <top/>
      <bottom style="medium"/>
    </border>
    <border>
      <left style="thin"/>
      <right style="thin"/>
      <top/>
      <bottom style="medium"/>
    </border>
    <border>
      <left/>
      <right style="medium"/>
      <top/>
      <bottom style="medium"/>
    </border>
    <border>
      <left/>
      <right/>
      <top/>
      <bottom style="medium"/>
    </border>
    <border>
      <left style="medium"/>
      <right style="thin"/>
      <top/>
      <bottom style="medium"/>
    </border>
    <border>
      <left/>
      <right/>
      <top style="medium"/>
      <bottom/>
    </border>
    <border>
      <left/>
      <right style="medium"/>
      <top style="medium"/>
      <bottom/>
    </border>
    <border>
      <left style="medium"/>
      <right/>
      <top style="medium"/>
      <bottom/>
    </border>
    <border>
      <left/>
      <right style="medium"/>
      <top style="thin"/>
      <bottom style="thin"/>
    </border>
    <border>
      <left/>
      <right style="medium"/>
      <top style="thin"/>
      <bottom style="double"/>
    </border>
    <border>
      <left/>
      <right/>
      <top/>
      <bottom style="double"/>
    </border>
    <border>
      <left/>
      <right style="thin"/>
      <top/>
      <bottom style="double"/>
    </border>
    <border>
      <left/>
      <right/>
      <top style="double"/>
      <bottom/>
    </border>
    <border>
      <left style="thin"/>
      <right style="thin"/>
      <top style="double"/>
      <bottom/>
    </border>
    <border>
      <left style="thin"/>
      <right/>
      <top/>
      <bottom style="double"/>
    </border>
    <border>
      <left style="thin"/>
      <right style="thin"/>
      <top/>
      <bottom style="double"/>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thin"/>
      <right style="medium"/>
      <top style="thin"/>
      <bottom/>
    </border>
  </borders>
  <cellStyleXfs count="220">
    <xf numFmtId="18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189" fontId="41" fillId="3" borderId="0" applyNumberFormat="0" applyBorder="0" applyAlignment="0" applyProtection="0"/>
    <xf numFmtId="0" fontId="80" fillId="2" borderId="0" applyNumberFormat="0" applyBorder="0" applyAlignment="0" applyProtection="0"/>
    <xf numFmtId="0" fontId="79" fillId="4" borderId="0" applyNumberFormat="0" applyBorder="0" applyAlignment="0" applyProtection="0"/>
    <xf numFmtId="189" fontId="41" fillId="5" borderId="0" applyNumberFormat="0" applyBorder="0" applyAlignment="0" applyProtection="0"/>
    <xf numFmtId="0" fontId="80" fillId="4" borderId="0" applyNumberFormat="0" applyBorder="0" applyAlignment="0" applyProtection="0"/>
    <xf numFmtId="0" fontId="79" fillId="6" borderId="0" applyNumberFormat="0" applyBorder="0" applyAlignment="0" applyProtection="0"/>
    <xf numFmtId="189" fontId="41" fillId="7" borderId="0" applyNumberFormat="0" applyBorder="0" applyAlignment="0" applyProtection="0"/>
    <xf numFmtId="0" fontId="80" fillId="6" borderId="0" applyNumberFormat="0" applyBorder="0" applyAlignment="0" applyProtection="0"/>
    <xf numFmtId="0" fontId="79" fillId="8" borderId="0" applyNumberFormat="0" applyBorder="0" applyAlignment="0" applyProtection="0"/>
    <xf numFmtId="189" fontId="41" fillId="9" borderId="0" applyNumberFormat="0" applyBorder="0" applyAlignment="0" applyProtection="0"/>
    <xf numFmtId="0" fontId="80" fillId="8" borderId="0" applyNumberFormat="0" applyBorder="0" applyAlignment="0" applyProtection="0"/>
    <xf numFmtId="0" fontId="79" fillId="10" borderId="0" applyNumberFormat="0" applyBorder="0" applyAlignment="0" applyProtection="0"/>
    <xf numFmtId="189" fontId="41" fillId="11" borderId="0" applyNumberFormat="0" applyBorder="0" applyAlignment="0" applyProtection="0"/>
    <xf numFmtId="0" fontId="80" fillId="10" borderId="0" applyNumberFormat="0" applyBorder="0" applyAlignment="0" applyProtection="0"/>
    <xf numFmtId="0" fontId="79" fillId="12" borderId="0" applyNumberFormat="0" applyBorder="0" applyAlignment="0" applyProtection="0"/>
    <xf numFmtId="189" fontId="41" fillId="13" borderId="0" applyNumberFormat="0" applyBorder="0" applyAlignment="0" applyProtection="0"/>
    <xf numFmtId="0" fontId="80" fillId="12" borderId="0" applyNumberFormat="0" applyBorder="0" applyAlignment="0" applyProtection="0"/>
    <xf numFmtId="0" fontId="79" fillId="14" borderId="0" applyNumberFormat="0" applyBorder="0" applyAlignment="0" applyProtection="0"/>
    <xf numFmtId="189" fontId="41" fillId="15" borderId="0" applyNumberFormat="0" applyBorder="0" applyAlignment="0" applyProtection="0"/>
    <xf numFmtId="0" fontId="80" fillId="14" borderId="0" applyNumberFormat="0" applyBorder="0" applyAlignment="0" applyProtection="0"/>
    <xf numFmtId="0" fontId="79" fillId="16" borderId="0" applyNumberFormat="0" applyBorder="0" applyAlignment="0" applyProtection="0"/>
    <xf numFmtId="189" fontId="41" fillId="17" borderId="0" applyNumberFormat="0" applyBorder="0" applyAlignment="0" applyProtection="0"/>
    <xf numFmtId="0" fontId="80" fillId="16" borderId="0" applyNumberFormat="0" applyBorder="0" applyAlignment="0" applyProtection="0"/>
    <xf numFmtId="0" fontId="79" fillId="18" borderId="0" applyNumberFormat="0" applyBorder="0" applyAlignment="0" applyProtection="0"/>
    <xf numFmtId="189" fontId="41" fillId="19" borderId="0" applyNumberFormat="0" applyBorder="0" applyAlignment="0" applyProtection="0"/>
    <xf numFmtId="0" fontId="80" fillId="18" borderId="0" applyNumberFormat="0" applyBorder="0" applyAlignment="0" applyProtection="0"/>
    <xf numFmtId="0" fontId="79" fillId="20" borderId="0" applyNumberFormat="0" applyBorder="0" applyAlignment="0" applyProtection="0"/>
    <xf numFmtId="189" fontId="41" fillId="9" borderId="0" applyNumberFormat="0" applyBorder="0" applyAlignment="0" applyProtection="0"/>
    <xf numFmtId="0" fontId="80" fillId="20" borderId="0" applyNumberFormat="0" applyBorder="0" applyAlignment="0" applyProtection="0"/>
    <xf numFmtId="0" fontId="79" fillId="21" borderId="0" applyNumberFormat="0" applyBorder="0" applyAlignment="0" applyProtection="0"/>
    <xf numFmtId="189" fontId="41" fillId="15" borderId="0" applyNumberFormat="0" applyBorder="0" applyAlignment="0" applyProtection="0"/>
    <xf numFmtId="0" fontId="80" fillId="21" borderId="0" applyNumberFormat="0" applyBorder="0" applyAlignment="0" applyProtection="0"/>
    <xf numFmtId="0" fontId="79" fillId="22" borderId="0" applyNumberFormat="0" applyBorder="0" applyAlignment="0" applyProtection="0"/>
    <xf numFmtId="189" fontId="41" fillId="23" borderId="0" applyNumberFormat="0" applyBorder="0" applyAlignment="0" applyProtection="0"/>
    <xf numFmtId="0" fontId="80" fillId="22" borderId="0" applyNumberFormat="0" applyBorder="0" applyAlignment="0" applyProtection="0"/>
    <xf numFmtId="0" fontId="81" fillId="24" borderId="0" applyNumberFormat="0" applyBorder="0" applyAlignment="0" applyProtection="0"/>
    <xf numFmtId="189" fontId="42" fillId="25" borderId="0" applyNumberFormat="0" applyBorder="0" applyAlignment="0" applyProtection="0"/>
    <xf numFmtId="0" fontId="82" fillId="24" borderId="0" applyNumberFormat="0" applyBorder="0" applyAlignment="0" applyProtection="0"/>
    <xf numFmtId="0" fontId="81" fillId="26" borderId="0" applyNumberFormat="0" applyBorder="0" applyAlignment="0" applyProtection="0"/>
    <xf numFmtId="189" fontId="42" fillId="17" borderId="0" applyNumberFormat="0" applyBorder="0" applyAlignment="0" applyProtection="0"/>
    <xf numFmtId="0" fontId="82" fillId="26" borderId="0" applyNumberFormat="0" applyBorder="0" applyAlignment="0" applyProtection="0"/>
    <xf numFmtId="0" fontId="81" fillId="27" borderId="0" applyNumberFormat="0" applyBorder="0" applyAlignment="0" applyProtection="0"/>
    <xf numFmtId="189" fontId="42" fillId="19" borderId="0" applyNumberFormat="0" applyBorder="0" applyAlignment="0" applyProtection="0"/>
    <xf numFmtId="0" fontId="82" fillId="27" borderId="0" applyNumberFormat="0" applyBorder="0" applyAlignment="0" applyProtection="0"/>
    <xf numFmtId="0" fontId="81" fillId="28" borderId="0" applyNumberFormat="0" applyBorder="0" applyAlignment="0" applyProtection="0"/>
    <xf numFmtId="189" fontId="42" fillId="29" borderId="0" applyNumberFormat="0" applyBorder="0" applyAlignment="0" applyProtection="0"/>
    <xf numFmtId="0" fontId="82" fillId="28" borderId="0" applyNumberFormat="0" applyBorder="0" applyAlignment="0" applyProtection="0"/>
    <xf numFmtId="0" fontId="81" fillId="30" borderId="0" applyNumberFormat="0" applyBorder="0" applyAlignment="0" applyProtection="0"/>
    <xf numFmtId="189" fontId="42" fillId="31" borderId="0" applyNumberFormat="0" applyBorder="0" applyAlignment="0" applyProtection="0"/>
    <xf numFmtId="0" fontId="82" fillId="30" borderId="0" applyNumberFormat="0" applyBorder="0" applyAlignment="0" applyProtection="0"/>
    <xf numFmtId="0" fontId="81" fillId="32" borderId="0" applyNumberFormat="0" applyBorder="0" applyAlignment="0" applyProtection="0"/>
    <xf numFmtId="189" fontId="42" fillId="33" borderId="0" applyNumberFormat="0" applyBorder="0" applyAlignment="0" applyProtection="0"/>
    <xf numFmtId="0" fontId="82" fillId="32" borderId="0" applyNumberFormat="0" applyBorder="0" applyAlignment="0" applyProtection="0"/>
    <xf numFmtId="0" fontId="81" fillId="34" borderId="0" applyNumberFormat="0" applyBorder="0" applyAlignment="0" applyProtection="0"/>
    <xf numFmtId="189" fontId="42" fillId="35" borderId="0" applyNumberFormat="0" applyBorder="0" applyAlignment="0" applyProtection="0"/>
    <xf numFmtId="0" fontId="82" fillId="34" borderId="0" applyNumberFormat="0" applyBorder="0" applyAlignment="0" applyProtection="0"/>
    <xf numFmtId="0" fontId="81" fillId="36" borderId="0" applyNumberFormat="0" applyBorder="0" applyAlignment="0" applyProtection="0"/>
    <xf numFmtId="189" fontId="42" fillId="37" borderId="0" applyNumberFormat="0" applyBorder="0" applyAlignment="0" applyProtection="0"/>
    <xf numFmtId="0" fontId="82" fillId="36" borderId="0" applyNumberFormat="0" applyBorder="0" applyAlignment="0" applyProtection="0"/>
    <xf numFmtId="0" fontId="81" fillId="38" borderId="0" applyNumberFormat="0" applyBorder="0" applyAlignment="0" applyProtection="0"/>
    <xf numFmtId="189" fontId="42" fillId="39" borderId="0" applyNumberFormat="0" applyBorder="0" applyAlignment="0" applyProtection="0"/>
    <xf numFmtId="0" fontId="82" fillId="38" borderId="0" applyNumberFormat="0" applyBorder="0" applyAlignment="0" applyProtection="0"/>
    <xf numFmtId="0" fontId="81" fillId="40" borderId="0" applyNumberFormat="0" applyBorder="0" applyAlignment="0" applyProtection="0"/>
    <xf numFmtId="189" fontId="42" fillId="29" borderId="0" applyNumberFormat="0" applyBorder="0" applyAlignment="0" applyProtection="0"/>
    <xf numFmtId="0" fontId="82" fillId="40" borderId="0" applyNumberFormat="0" applyBorder="0" applyAlignment="0" applyProtection="0"/>
    <xf numFmtId="0" fontId="81" fillId="41" borderId="0" applyNumberFormat="0" applyBorder="0" applyAlignment="0" applyProtection="0"/>
    <xf numFmtId="189" fontId="42" fillId="31" borderId="0" applyNumberFormat="0" applyBorder="0" applyAlignment="0" applyProtection="0"/>
    <xf numFmtId="0" fontId="82" fillId="41" borderId="0" applyNumberFormat="0" applyBorder="0" applyAlignment="0" applyProtection="0"/>
    <xf numFmtId="0" fontId="81" fillId="42" borderId="0" applyNumberFormat="0" applyBorder="0" applyAlignment="0" applyProtection="0"/>
    <xf numFmtId="189" fontId="42" fillId="43" borderId="0" applyNumberFormat="0" applyBorder="0" applyAlignment="0" applyProtection="0"/>
    <xf numFmtId="0" fontId="82" fillId="42" borderId="0" applyNumberFormat="0" applyBorder="0" applyAlignment="0" applyProtection="0"/>
    <xf numFmtId="0" fontId="83" fillId="44" borderId="0" applyNumberFormat="0" applyBorder="0" applyAlignment="0" applyProtection="0"/>
    <xf numFmtId="189" fontId="43" fillId="5" borderId="0" applyNumberFormat="0" applyBorder="0" applyAlignment="0" applyProtection="0"/>
    <xf numFmtId="0" fontId="84" fillId="44" borderId="0" applyNumberFormat="0" applyBorder="0" applyAlignment="0" applyProtection="0"/>
    <xf numFmtId="0" fontId="85" fillId="45" borderId="1" applyNumberFormat="0" applyAlignment="0" applyProtection="0"/>
    <xf numFmtId="189" fontId="44" fillId="46" borderId="2" applyNumberFormat="0" applyAlignment="0" applyProtection="0"/>
    <xf numFmtId="0" fontId="86" fillId="45" borderId="1" applyNumberFormat="0" applyAlignment="0" applyProtection="0"/>
    <xf numFmtId="0" fontId="87" fillId="47" borderId="3" applyNumberFormat="0" applyAlignment="0" applyProtection="0"/>
    <xf numFmtId="189" fontId="45" fillId="48" borderId="4" applyNumberFormat="0" applyAlignment="0" applyProtection="0"/>
    <xf numFmtId="0" fontId="88"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0" fontId="46" fillId="0" borderId="0" applyFont="0" applyFill="0" applyBorder="0" applyAlignment="0" applyProtection="0"/>
    <xf numFmtId="171" fontId="47"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89" fillId="0" borderId="0" applyNumberFormat="0" applyFill="0" applyBorder="0" applyAlignment="0" applyProtection="0"/>
    <xf numFmtId="189" fontId="48" fillId="0" borderId="0" applyNumberFormat="0" applyFill="0" applyBorder="0" applyAlignment="0" applyProtection="0"/>
    <xf numFmtId="0" fontId="90" fillId="0" borderId="0" applyNumberFormat="0" applyFill="0" applyBorder="0" applyAlignment="0" applyProtection="0"/>
    <xf numFmtId="0" fontId="91" fillId="49" borderId="0" applyNumberFormat="0" applyBorder="0" applyAlignment="0" applyProtection="0"/>
    <xf numFmtId="189" fontId="49" fillId="7" borderId="0" applyNumberFormat="0" applyBorder="0" applyAlignment="0" applyProtection="0"/>
    <xf numFmtId="0" fontId="92" fillId="49" borderId="0" applyNumberFormat="0" applyBorder="0" applyAlignment="0" applyProtection="0"/>
    <xf numFmtId="0" fontId="93" fillId="0" borderId="5" applyNumberFormat="0" applyFill="0" applyAlignment="0" applyProtection="0"/>
    <xf numFmtId="189" fontId="50" fillId="0" borderId="6" applyNumberFormat="0" applyFill="0" applyAlignment="0" applyProtection="0"/>
    <xf numFmtId="0" fontId="94" fillId="0" borderId="5" applyNumberFormat="0" applyFill="0" applyAlignment="0" applyProtection="0"/>
    <xf numFmtId="0" fontId="95" fillId="0" borderId="7" applyNumberFormat="0" applyFill="0" applyAlignment="0" applyProtection="0"/>
    <xf numFmtId="189" fontId="51" fillId="0" borderId="8" applyNumberFormat="0" applyFill="0" applyAlignment="0" applyProtection="0"/>
    <xf numFmtId="0" fontId="96" fillId="0" borderId="7" applyNumberFormat="0" applyFill="0" applyAlignment="0" applyProtection="0"/>
    <xf numFmtId="0" fontId="97" fillId="0" borderId="9" applyNumberFormat="0" applyFill="0" applyAlignment="0" applyProtection="0"/>
    <xf numFmtId="189" fontId="52" fillId="0" borderId="10" applyNumberFormat="0" applyFill="0" applyAlignment="0" applyProtection="0"/>
    <xf numFmtId="0" fontId="98" fillId="0" borderId="9" applyNumberFormat="0" applyFill="0" applyAlignment="0" applyProtection="0"/>
    <xf numFmtId="0" fontId="97" fillId="0" borderId="0" applyNumberFormat="0" applyFill="0" applyBorder="0" applyAlignment="0" applyProtection="0"/>
    <xf numFmtId="189" fontId="52" fillId="0" borderId="0" applyNumberFormat="0" applyFill="0" applyBorder="0" applyAlignment="0" applyProtection="0"/>
    <xf numFmtId="0" fontId="98" fillId="0" borderId="0" applyNumberFormat="0" applyFill="0" applyBorder="0" applyAlignment="0" applyProtection="0"/>
    <xf numFmtId="189" fontId="12" fillId="0" borderId="0" applyNumberFormat="0" applyFill="0" applyBorder="0" applyAlignment="0" applyProtection="0"/>
    <xf numFmtId="189" fontId="12" fillId="0" borderId="0" applyNumberFormat="0" applyFill="0" applyBorder="0" applyAlignment="0" applyProtection="0"/>
    <xf numFmtId="189" fontId="12" fillId="0" borderId="0" applyNumberFormat="0" applyFill="0" applyBorder="0" applyAlignment="0" applyProtection="0"/>
    <xf numFmtId="189" fontId="12" fillId="0" borderId="0" applyNumberFormat="0" applyFill="0" applyBorder="0" applyAlignment="0" applyProtection="0"/>
    <xf numFmtId="0" fontId="99" fillId="50" borderId="1" applyNumberFormat="0" applyAlignment="0" applyProtection="0"/>
    <xf numFmtId="189" fontId="53" fillId="13" borderId="2" applyNumberFormat="0" applyAlignment="0" applyProtection="0"/>
    <xf numFmtId="0" fontId="100" fillId="50" borderId="1" applyNumberFormat="0" applyAlignment="0" applyProtection="0"/>
    <xf numFmtId="0" fontId="101" fillId="0" borderId="11" applyNumberFormat="0" applyFill="0" applyAlignment="0" applyProtection="0"/>
    <xf numFmtId="189" fontId="54" fillId="0" borderId="12" applyNumberFormat="0" applyFill="0" applyAlignment="0" applyProtection="0"/>
    <xf numFmtId="0" fontId="102" fillId="0" borderId="11" applyNumberFormat="0" applyFill="0" applyAlignment="0" applyProtection="0"/>
    <xf numFmtId="0" fontId="103" fillId="51" borderId="0" applyNumberFormat="0" applyBorder="0" applyAlignment="0" applyProtection="0"/>
    <xf numFmtId="189" fontId="55" fillId="52" borderId="0" applyNumberFormat="0" applyBorder="0" applyAlignment="0" applyProtection="0"/>
    <xf numFmtId="0" fontId="104"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0" borderId="0">
      <alignment/>
      <protection/>
    </xf>
    <xf numFmtId="189" fontId="0" fillId="0" borderId="0">
      <alignment/>
      <protection/>
    </xf>
    <xf numFmtId="189" fontId="0" fillId="0" borderId="0">
      <alignment/>
      <protection/>
    </xf>
    <xf numFmtId="0"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105" fillId="0" borderId="0">
      <alignment/>
      <protection/>
    </xf>
    <xf numFmtId="189" fontId="0" fillId="0" borderId="0">
      <alignment/>
      <protection/>
    </xf>
    <xf numFmtId="189" fontId="0" fillId="0" borderId="0">
      <alignment/>
      <protection/>
    </xf>
    <xf numFmtId="189" fontId="6" fillId="0" borderId="0">
      <alignment/>
      <protection/>
    </xf>
    <xf numFmtId="189" fontId="0"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6" fillId="0" borderId="0">
      <alignment/>
      <protection/>
    </xf>
    <xf numFmtId="0" fontId="0" fillId="53" borderId="13" applyNumberFormat="0" applyFont="0" applyAlignment="0" applyProtection="0"/>
    <xf numFmtId="0" fontId="79" fillId="53" borderId="13" applyNumberFormat="0" applyFont="0" applyAlignment="0" applyProtection="0"/>
    <xf numFmtId="189" fontId="0" fillId="54" borderId="14" applyNumberFormat="0" applyFont="0" applyAlignment="0" applyProtection="0"/>
    <xf numFmtId="0" fontId="79" fillId="53" borderId="13"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0" fontId="80" fillId="53" borderId="13" applyNumberFormat="0" applyFont="0" applyAlignment="0" applyProtection="0"/>
    <xf numFmtId="0" fontId="106" fillId="45" borderId="15" applyNumberFormat="0" applyAlignment="0" applyProtection="0"/>
    <xf numFmtId="189" fontId="56" fillId="46" borderId="16" applyNumberFormat="0" applyAlignment="0" applyProtection="0"/>
    <xf numFmtId="0" fontId="107" fillId="45"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108" fillId="0" borderId="0" applyNumberFormat="0" applyFill="0" applyBorder="0" applyAlignment="0" applyProtection="0"/>
    <xf numFmtId="189" fontId="57" fillId="0" borderId="0" applyNumberFormat="0" applyFill="0" applyBorder="0" applyAlignment="0" applyProtection="0"/>
    <xf numFmtId="0" fontId="109" fillId="0" borderId="17" applyNumberFormat="0" applyFill="0" applyAlignment="0" applyProtection="0"/>
    <xf numFmtId="189" fontId="58" fillId="0" borderId="18" applyNumberFormat="0" applyFill="0" applyAlignment="0" applyProtection="0"/>
    <xf numFmtId="0" fontId="110" fillId="0" borderId="17" applyNumberFormat="0" applyFill="0" applyAlignment="0" applyProtection="0"/>
    <xf numFmtId="0" fontId="111" fillId="0" borderId="0" applyNumberFormat="0" applyFill="0" applyBorder="0" applyAlignment="0" applyProtection="0"/>
    <xf numFmtId="189" fontId="59" fillId="0" borderId="0" applyNumberFormat="0" applyFill="0" applyBorder="0" applyAlignment="0" applyProtection="0"/>
    <xf numFmtId="0" fontId="112" fillId="0" borderId="0" applyNumberFormat="0" applyFill="0" applyBorder="0" applyAlignment="0" applyProtection="0"/>
  </cellStyleXfs>
  <cellXfs count="1489">
    <xf numFmtId="189" fontId="0" fillId="0" borderId="0" xfId="0" applyAlignment="1">
      <alignment/>
    </xf>
    <xf numFmtId="189" fontId="6" fillId="0" borderId="0" xfId="0" applyFont="1" applyFill="1" applyBorder="1" applyAlignment="1">
      <alignment/>
    </xf>
    <xf numFmtId="189" fontId="0" fillId="0" borderId="0" xfId="0" applyFill="1" applyBorder="1" applyAlignment="1">
      <alignment/>
    </xf>
    <xf numFmtId="189" fontId="0" fillId="0" borderId="0" xfId="0" applyBorder="1" applyAlignment="1">
      <alignment/>
    </xf>
    <xf numFmtId="189" fontId="3" fillId="0" borderId="0" xfId="0" applyFont="1" applyFill="1" applyBorder="1" applyAlignment="1">
      <alignment horizontal="left"/>
    </xf>
    <xf numFmtId="189" fontId="4" fillId="0" borderId="0" xfId="0" applyFont="1" applyFill="1" applyBorder="1" applyAlignment="1">
      <alignment horizontal="left"/>
    </xf>
    <xf numFmtId="189" fontId="5" fillId="0" borderId="0" xfId="0" applyFont="1" applyFill="1" applyBorder="1" applyAlignment="1">
      <alignment/>
    </xf>
    <xf numFmtId="189" fontId="6" fillId="0" borderId="0" xfId="0" applyFont="1" applyFill="1" applyBorder="1" applyAlignment="1">
      <alignment/>
    </xf>
    <xf numFmtId="189" fontId="8" fillId="0" borderId="0" xfId="0" applyFont="1" applyFill="1" applyBorder="1" applyAlignment="1">
      <alignment/>
    </xf>
    <xf numFmtId="172" fontId="6" fillId="0" borderId="0" xfId="0" applyNumberFormat="1" applyFont="1" applyFill="1" applyBorder="1" applyAlignment="1">
      <alignment/>
    </xf>
    <xf numFmtId="173" fontId="8" fillId="0" borderId="0" xfId="0" applyNumberFormat="1" applyFont="1" applyFill="1" applyBorder="1" applyAlignment="1">
      <alignment/>
    </xf>
    <xf numFmtId="173" fontId="6" fillId="0" borderId="0" xfId="0" applyNumberFormat="1" applyFont="1" applyFill="1" applyBorder="1" applyAlignment="1">
      <alignment/>
    </xf>
    <xf numFmtId="173" fontId="3" fillId="0" borderId="0" xfId="0" applyNumberFormat="1" applyFont="1" applyBorder="1" applyAlignment="1">
      <alignment/>
    </xf>
    <xf numFmtId="189" fontId="0" fillId="0" borderId="0" xfId="0" applyFill="1" applyBorder="1" applyAlignment="1">
      <alignment/>
    </xf>
    <xf numFmtId="189" fontId="11" fillId="0" borderId="19" xfId="0" applyFont="1" applyFill="1" applyBorder="1" applyAlignment="1">
      <alignment horizontal="center"/>
    </xf>
    <xf numFmtId="189" fontId="11" fillId="0" borderId="0" xfId="0" applyFont="1" applyFill="1" applyBorder="1" applyAlignment="1">
      <alignment horizontal="center"/>
    </xf>
    <xf numFmtId="189" fontId="2" fillId="0" borderId="0" xfId="0" applyFont="1" applyFill="1" applyBorder="1" applyAlignment="1">
      <alignment horizontal="center"/>
    </xf>
    <xf numFmtId="189" fontId="0" fillId="0" borderId="20" xfId="0" applyBorder="1" applyAlignment="1">
      <alignment/>
    </xf>
    <xf numFmtId="189" fontId="0" fillId="0" borderId="21" xfId="0" applyBorder="1" applyAlignment="1">
      <alignment/>
    </xf>
    <xf numFmtId="189" fontId="0" fillId="0" borderId="22" xfId="0" applyBorder="1" applyAlignment="1">
      <alignment/>
    </xf>
    <xf numFmtId="189" fontId="11" fillId="0" borderId="23" xfId="0" applyFont="1" applyFill="1" applyBorder="1" applyAlignment="1">
      <alignment horizontal="center"/>
    </xf>
    <xf numFmtId="189" fontId="11" fillId="0" borderId="24" xfId="0" applyFont="1" applyFill="1" applyBorder="1" applyAlignment="1">
      <alignment horizontal="center"/>
    </xf>
    <xf numFmtId="189" fontId="0" fillId="0" borderId="25" xfId="0" applyBorder="1" applyAlignment="1">
      <alignment/>
    </xf>
    <xf numFmtId="189" fontId="11" fillId="0" borderId="26" xfId="0" applyFont="1" applyFill="1" applyBorder="1" applyAlignment="1">
      <alignment horizontal="center"/>
    </xf>
    <xf numFmtId="189" fontId="0" fillId="0" borderId="27" xfId="0" applyBorder="1" applyAlignment="1">
      <alignment/>
    </xf>
    <xf numFmtId="189" fontId="0" fillId="0" borderId="28" xfId="0" applyBorder="1" applyAlignment="1">
      <alignment/>
    </xf>
    <xf numFmtId="189" fontId="0" fillId="0" borderId="29" xfId="0" applyBorder="1" applyAlignment="1">
      <alignment/>
    </xf>
    <xf numFmtId="189" fontId="0" fillId="0" borderId="24" xfId="0" applyBorder="1" applyAlignment="1">
      <alignment/>
    </xf>
    <xf numFmtId="174" fontId="6" fillId="0" borderId="29" xfId="96" applyNumberFormat="1" applyFont="1" applyFill="1" applyBorder="1" applyAlignment="1">
      <alignment/>
    </xf>
    <xf numFmtId="175" fontId="6" fillId="0" borderId="29" xfId="96" applyNumberFormat="1" applyFont="1" applyFill="1" applyBorder="1" applyAlignment="1">
      <alignment/>
    </xf>
    <xf numFmtId="173" fontId="6" fillId="0" borderId="29" xfId="201" applyNumberFormat="1" applyFont="1" applyFill="1" applyBorder="1" applyAlignment="1">
      <alignment horizontal="right"/>
    </xf>
    <xf numFmtId="174" fontId="6" fillId="0" borderId="0" xfId="96" applyNumberFormat="1" applyFont="1" applyFill="1" applyBorder="1" applyAlignment="1">
      <alignment/>
    </xf>
    <xf numFmtId="175" fontId="6" fillId="0" borderId="0" xfId="0" applyNumberFormat="1" applyFont="1" applyFill="1" applyBorder="1" applyAlignment="1">
      <alignment/>
    </xf>
    <xf numFmtId="175" fontId="6" fillId="0" borderId="0" xfId="96" applyNumberFormat="1" applyFont="1" applyFill="1" applyBorder="1" applyAlignment="1">
      <alignment/>
    </xf>
    <xf numFmtId="177" fontId="6" fillId="0" borderId="0" xfId="0" applyNumberFormat="1" applyFont="1" applyFill="1" applyBorder="1" applyAlignment="1">
      <alignment/>
    </xf>
    <xf numFmtId="173" fontId="6" fillId="0" borderId="0" xfId="201" applyNumberFormat="1" applyFont="1" applyFill="1" applyBorder="1" applyAlignment="1">
      <alignment/>
    </xf>
    <xf numFmtId="178" fontId="6" fillId="0" borderId="0" xfId="0" applyNumberFormat="1" applyFont="1" applyFill="1" applyBorder="1" applyAlignment="1">
      <alignment/>
    </xf>
    <xf numFmtId="180" fontId="6" fillId="0" borderId="0" xfId="0" applyNumberFormat="1" applyFont="1" applyFill="1" applyBorder="1" applyAlignment="1">
      <alignment horizontal="right"/>
    </xf>
    <xf numFmtId="174" fontId="6" fillId="0" borderId="28" xfId="96" applyNumberFormat="1" applyFont="1" applyFill="1" applyBorder="1" applyAlignment="1">
      <alignment/>
    </xf>
    <xf numFmtId="175" fontId="6" fillId="0" borderId="28" xfId="96" applyNumberFormat="1" applyFont="1" applyFill="1" applyBorder="1" applyAlignment="1">
      <alignment/>
    </xf>
    <xf numFmtId="175" fontId="6" fillId="0" borderId="0" xfId="0" applyNumberFormat="1" applyFont="1" applyFill="1" applyBorder="1" applyAlignment="1">
      <alignment horizontal="right"/>
    </xf>
    <xf numFmtId="173" fontId="6" fillId="0" borderId="0" xfId="201" applyNumberFormat="1" applyFont="1" applyFill="1" applyBorder="1" applyAlignment="1">
      <alignment horizontal="right"/>
    </xf>
    <xf numFmtId="176" fontId="6" fillId="0" borderId="0" xfId="201" applyNumberFormat="1" applyFont="1" applyFill="1" applyBorder="1" applyAlignment="1">
      <alignment/>
    </xf>
    <xf numFmtId="174" fontId="6" fillId="0" borderId="27" xfId="96" applyNumberFormat="1" applyFont="1" applyFill="1" applyBorder="1" applyAlignment="1">
      <alignment/>
    </xf>
    <xf numFmtId="39" fontId="6" fillId="0" borderId="0" xfId="0" applyNumberFormat="1" applyFont="1" applyFill="1" applyBorder="1" applyAlignment="1">
      <alignment/>
    </xf>
    <xf numFmtId="173" fontId="6" fillId="0" borderId="29" xfId="0" applyNumberFormat="1" applyFont="1" applyFill="1" applyBorder="1" applyAlignment="1">
      <alignment/>
    </xf>
    <xf numFmtId="173" fontId="6" fillId="0" borderId="29" xfId="201" applyNumberFormat="1" applyFont="1" applyFill="1" applyBorder="1" applyAlignment="1">
      <alignment horizontal="right"/>
    </xf>
    <xf numFmtId="173" fontId="6" fillId="0" borderId="0" xfId="201" applyNumberFormat="1" applyFont="1" applyFill="1" applyBorder="1" applyAlignment="1">
      <alignment horizontal="right"/>
    </xf>
    <xf numFmtId="175" fontId="6" fillId="0" borderId="27" xfId="0" applyNumberFormat="1" applyFont="1" applyFill="1" applyBorder="1" applyAlignment="1">
      <alignment/>
    </xf>
    <xf numFmtId="173" fontId="6" fillId="0" borderId="27" xfId="0" applyNumberFormat="1" applyFont="1" applyFill="1" applyBorder="1" applyAlignment="1">
      <alignment/>
    </xf>
    <xf numFmtId="173" fontId="6" fillId="0" borderId="27" xfId="201" applyNumberFormat="1" applyFont="1" applyFill="1" applyBorder="1" applyAlignment="1">
      <alignment/>
    </xf>
    <xf numFmtId="175" fontId="6" fillId="0" borderId="0" xfId="0" applyNumberFormat="1" applyFont="1" applyFill="1" applyBorder="1" applyAlignment="1">
      <alignment/>
    </xf>
    <xf numFmtId="173" fontId="6" fillId="0" borderId="0" xfId="0" applyNumberFormat="1" applyFont="1" applyFill="1" applyBorder="1" applyAlignment="1">
      <alignment/>
    </xf>
    <xf numFmtId="173" fontId="6" fillId="0" borderId="0" xfId="201" applyNumberFormat="1" applyFont="1" applyFill="1" applyBorder="1" applyAlignment="1">
      <alignment/>
    </xf>
    <xf numFmtId="182" fontId="6" fillId="0" borderId="28" xfId="0" applyNumberFormat="1" applyFont="1" applyFill="1" applyBorder="1" applyAlignment="1">
      <alignment horizontal="right"/>
    </xf>
    <xf numFmtId="174" fontId="6" fillId="0" borderId="0" xfId="96" applyNumberFormat="1" applyFont="1" applyFill="1" applyBorder="1" applyAlignment="1">
      <alignment/>
    </xf>
    <xf numFmtId="174" fontId="6" fillId="0" borderId="28" xfId="96" applyNumberFormat="1" applyFont="1" applyFill="1" applyBorder="1" applyAlignment="1">
      <alignment/>
    </xf>
    <xf numFmtId="174" fontId="6" fillId="0" borderId="29" xfId="96" applyNumberFormat="1" applyFont="1" applyFill="1" applyBorder="1" applyAlignment="1">
      <alignment/>
    </xf>
    <xf numFmtId="189" fontId="6" fillId="0" borderId="0" xfId="0" applyFont="1" applyAlignment="1">
      <alignment/>
    </xf>
    <xf numFmtId="174" fontId="6" fillId="0" borderId="27" xfId="96" applyNumberFormat="1" applyFont="1" applyFill="1" applyBorder="1" applyAlignment="1">
      <alignment/>
    </xf>
    <xf numFmtId="175" fontId="6" fillId="0" borderId="28" xfId="0" applyNumberFormat="1" applyFont="1" applyFill="1" applyBorder="1" applyAlignment="1">
      <alignment/>
    </xf>
    <xf numFmtId="175" fontId="6" fillId="0" borderId="29" xfId="0" applyNumberFormat="1" applyFont="1" applyFill="1" applyBorder="1" applyAlignment="1">
      <alignment/>
    </xf>
    <xf numFmtId="175" fontId="6" fillId="0" borderId="0" xfId="96" applyNumberFormat="1" applyFont="1" applyFill="1" applyBorder="1" applyAlignment="1">
      <alignment/>
    </xf>
    <xf numFmtId="175" fontId="6" fillId="0" borderId="29" xfId="96" applyNumberFormat="1" applyFont="1" applyFill="1" applyBorder="1" applyAlignment="1">
      <alignment/>
    </xf>
    <xf numFmtId="2" fontId="6" fillId="0" borderId="0" xfId="0" applyNumberFormat="1" applyFont="1" applyFill="1" applyBorder="1" applyAlignment="1">
      <alignment/>
    </xf>
    <xf numFmtId="43" fontId="6" fillId="0" borderId="0" xfId="0" applyNumberFormat="1" applyFont="1" applyFill="1" applyBorder="1" applyAlignment="1">
      <alignment/>
    </xf>
    <xf numFmtId="2" fontId="6" fillId="0" borderId="29" xfId="96" applyNumberFormat="1" applyFont="1" applyFill="1" applyBorder="1" applyAlignment="1">
      <alignment/>
    </xf>
    <xf numFmtId="175" fontId="6" fillId="0" borderId="27" xfId="96" applyNumberFormat="1" applyFont="1" applyFill="1" applyBorder="1" applyAlignment="1">
      <alignment/>
    </xf>
    <xf numFmtId="189" fontId="6" fillId="0" borderId="29" xfId="96" applyNumberFormat="1" applyFont="1" applyFill="1" applyBorder="1" applyAlignment="1">
      <alignment/>
    </xf>
    <xf numFmtId="179" fontId="6" fillId="0" borderId="0" xfId="96" applyNumberFormat="1" applyFont="1" applyFill="1" applyBorder="1" applyAlignment="1">
      <alignment/>
    </xf>
    <xf numFmtId="174" fontId="6" fillId="0" borderId="0" xfId="96" applyNumberFormat="1" applyFont="1" applyFill="1" applyBorder="1" applyAlignment="1">
      <alignment horizontal="right"/>
    </xf>
    <xf numFmtId="174" fontId="6" fillId="0" borderId="29" xfId="96" applyNumberFormat="1" applyFont="1" applyFill="1" applyBorder="1" applyAlignment="1">
      <alignment horizontal="right"/>
    </xf>
    <xf numFmtId="174" fontId="6" fillId="0" borderId="27" xfId="96" applyNumberFormat="1" applyFont="1" applyFill="1" applyBorder="1" applyAlignment="1">
      <alignment horizontal="right"/>
    </xf>
    <xf numFmtId="176" fontId="6" fillId="0" borderId="0" xfId="0" applyNumberFormat="1" applyFont="1" applyFill="1" applyBorder="1" applyAlignment="1">
      <alignment/>
    </xf>
    <xf numFmtId="176" fontId="6" fillId="0" borderId="29" xfId="201" applyNumberFormat="1" applyFont="1" applyFill="1" applyBorder="1" applyAlignment="1">
      <alignment/>
    </xf>
    <xf numFmtId="176" fontId="6" fillId="0" borderId="27" xfId="0" applyNumberFormat="1" applyFont="1" applyFill="1" applyBorder="1" applyAlignment="1">
      <alignment/>
    </xf>
    <xf numFmtId="177" fontId="6" fillId="0" borderId="0" xfId="0" applyNumberFormat="1" applyFont="1" applyFill="1" applyBorder="1" applyAlignment="1">
      <alignment/>
    </xf>
    <xf numFmtId="39" fontId="6" fillId="0" borderId="29" xfId="0" applyNumberFormat="1" applyFont="1" applyFill="1" applyBorder="1" applyAlignment="1">
      <alignment/>
    </xf>
    <xf numFmtId="175" fontId="6" fillId="0" borderId="0" xfId="0" applyNumberFormat="1" applyFont="1" applyFill="1" applyBorder="1" applyAlignment="1">
      <alignment horizontal="right"/>
    </xf>
    <xf numFmtId="173" fontId="6" fillId="0" borderId="29" xfId="201" applyNumberFormat="1" applyFont="1" applyFill="1" applyBorder="1" applyAlignment="1">
      <alignment/>
    </xf>
    <xf numFmtId="178" fontId="6" fillId="0" borderId="0" xfId="0" applyNumberFormat="1" applyFont="1" applyFill="1" applyBorder="1" applyAlignment="1">
      <alignment/>
    </xf>
    <xf numFmtId="178" fontId="6" fillId="0" borderId="29" xfId="0" applyNumberFormat="1" applyFont="1" applyFill="1" applyBorder="1" applyAlignment="1">
      <alignment/>
    </xf>
    <xf numFmtId="178" fontId="6" fillId="0" borderId="27" xfId="0" applyNumberFormat="1" applyFont="1" applyFill="1" applyBorder="1" applyAlignment="1">
      <alignment/>
    </xf>
    <xf numFmtId="189" fontId="6" fillId="0" borderId="0" xfId="0" applyFont="1" applyAlignment="1">
      <alignment/>
    </xf>
    <xf numFmtId="174" fontId="6" fillId="0" borderId="28" xfId="0" applyNumberFormat="1" applyFont="1" applyFill="1" applyBorder="1" applyAlignment="1">
      <alignment/>
    </xf>
    <xf numFmtId="174" fontId="6" fillId="0" borderId="27" xfId="0" applyNumberFormat="1" applyFont="1" applyFill="1" applyBorder="1" applyAlignment="1">
      <alignment/>
    </xf>
    <xf numFmtId="189" fontId="6" fillId="0" borderId="27" xfId="0" applyFont="1" applyFill="1" applyBorder="1" applyAlignment="1">
      <alignment/>
    </xf>
    <xf numFmtId="39" fontId="6" fillId="0" borderId="28" xfId="96" applyNumberFormat="1" applyFont="1" applyFill="1" applyBorder="1" applyAlignment="1">
      <alignment/>
    </xf>
    <xf numFmtId="189" fontId="11" fillId="0" borderId="25" xfId="0" applyFont="1" applyFill="1" applyBorder="1" applyAlignment="1">
      <alignment horizontal="center"/>
    </xf>
    <xf numFmtId="189" fontId="6" fillId="0" borderId="27" xfId="0" applyFont="1" applyBorder="1" applyAlignment="1">
      <alignment/>
    </xf>
    <xf numFmtId="184" fontId="6" fillId="0" borderId="28" xfId="0" applyNumberFormat="1" applyFont="1" applyFill="1" applyBorder="1" applyAlignment="1">
      <alignment/>
    </xf>
    <xf numFmtId="189" fontId="13" fillId="0" borderId="0" xfId="0" applyFont="1" applyAlignment="1">
      <alignment horizontal="center"/>
    </xf>
    <xf numFmtId="189" fontId="0" fillId="0" borderId="0" xfId="0" applyAlignment="1">
      <alignment horizontal="right"/>
    </xf>
    <xf numFmtId="189" fontId="0" fillId="0" borderId="0" xfId="0" applyAlignment="1">
      <alignment wrapText="1"/>
    </xf>
    <xf numFmtId="189" fontId="0" fillId="46" borderId="0" xfId="0" applyFill="1" applyAlignment="1">
      <alignment/>
    </xf>
    <xf numFmtId="189" fontId="16" fillId="0" borderId="0" xfId="0" applyFont="1" applyAlignment="1">
      <alignment horizontal="center"/>
    </xf>
    <xf numFmtId="189" fontId="13" fillId="0" borderId="0" xfId="0" applyFont="1" applyAlignment="1">
      <alignment/>
    </xf>
    <xf numFmtId="189" fontId="0" fillId="0" borderId="0" xfId="0" applyNumberFormat="1" applyFill="1" applyAlignment="1">
      <alignment horizontal="center"/>
    </xf>
    <xf numFmtId="189" fontId="0" fillId="0" borderId="0" xfId="0" applyAlignment="1">
      <alignment horizontal="center"/>
    </xf>
    <xf numFmtId="189" fontId="0" fillId="0" borderId="0" xfId="0" applyFill="1" applyAlignment="1">
      <alignment wrapText="1"/>
    </xf>
    <xf numFmtId="189" fontId="0" fillId="0" borderId="0" xfId="0" applyNumberFormat="1" applyBorder="1" applyAlignment="1">
      <alignment horizontal="center"/>
    </xf>
    <xf numFmtId="189" fontId="0" fillId="0" borderId="0" xfId="0" applyNumberFormat="1" applyFill="1" applyBorder="1" applyAlignment="1">
      <alignment horizontal="center"/>
    </xf>
    <xf numFmtId="189" fontId="13" fillId="0" borderId="0" xfId="0" applyFont="1" applyBorder="1" applyAlignment="1">
      <alignment horizontal="left"/>
    </xf>
    <xf numFmtId="189" fontId="12" fillId="0" borderId="0" xfId="147" applyFont="1" applyBorder="1" applyAlignment="1" applyProtection="1">
      <alignment horizontal="center"/>
      <protection/>
    </xf>
    <xf numFmtId="189" fontId="0" fillId="0" borderId="0" xfId="0" applyFill="1" applyAlignment="1">
      <alignment/>
    </xf>
    <xf numFmtId="10" fontId="0" fillId="0" borderId="0" xfId="0" applyNumberFormat="1" applyAlignment="1">
      <alignment/>
    </xf>
    <xf numFmtId="189" fontId="6" fillId="0" borderId="0" xfId="0" applyFont="1" applyAlignment="1">
      <alignment/>
    </xf>
    <xf numFmtId="189" fontId="0" fillId="0" borderId="0" xfId="0" applyAlignment="1">
      <alignment/>
    </xf>
    <xf numFmtId="189" fontId="0" fillId="0" borderId="0" xfId="0" applyFill="1" applyAlignment="1">
      <alignment/>
    </xf>
    <xf numFmtId="189" fontId="2" fillId="0" borderId="0" xfId="0" applyFont="1" applyAlignment="1">
      <alignment/>
    </xf>
    <xf numFmtId="189" fontId="4" fillId="0" borderId="0" xfId="0" applyFont="1" applyAlignment="1">
      <alignment/>
    </xf>
    <xf numFmtId="189" fontId="17" fillId="55" borderId="30" xfId="0" applyFont="1" applyFill="1" applyBorder="1" applyAlignment="1">
      <alignment horizontal="left"/>
    </xf>
    <xf numFmtId="189" fontId="18" fillId="55" borderId="31" xfId="0" applyFont="1" applyFill="1" applyBorder="1" applyAlignment="1">
      <alignment/>
    </xf>
    <xf numFmtId="189" fontId="6" fillId="0" borderId="0" xfId="0" applyFont="1" applyFill="1" applyAlignment="1">
      <alignment wrapText="1"/>
    </xf>
    <xf numFmtId="189" fontId="18" fillId="55" borderId="32" xfId="0" applyFont="1" applyFill="1" applyBorder="1" applyAlignment="1">
      <alignment/>
    </xf>
    <xf numFmtId="189" fontId="0" fillId="0" borderId="0" xfId="0" applyFont="1" applyAlignment="1">
      <alignment/>
    </xf>
    <xf numFmtId="189" fontId="0" fillId="0" borderId="20" xfId="0" applyFont="1" applyBorder="1" applyAlignment="1">
      <alignment/>
    </xf>
    <xf numFmtId="189" fontId="0" fillId="0" borderId="21" xfId="0" applyFont="1" applyBorder="1" applyAlignment="1">
      <alignment/>
    </xf>
    <xf numFmtId="189" fontId="0" fillId="0" borderId="21" xfId="0" applyFont="1" applyBorder="1" applyAlignment="1">
      <alignment horizontal="right"/>
    </xf>
    <xf numFmtId="189" fontId="0" fillId="0" borderId="22" xfId="0" applyFont="1" applyBorder="1" applyAlignment="1">
      <alignment/>
    </xf>
    <xf numFmtId="189" fontId="0" fillId="0" borderId="0" xfId="0" applyFont="1" applyBorder="1" applyAlignment="1">
      <alignment/>
    </xf>
    <xf numFmtId="189" fontId="0" fillId="0" borderId="29" xfId="0" applyFont="1" applyBorder="1" applyAlignment="1">
      <alignment/>
    </xf>
    <xf numFmtId="189" fontId="0" fillId="0" borderId="29" xfId="0" applyFont="1" applyFill="1" applyBorder="1" applyAlignment="1">
      <alignment/>
    </xf>
    <xf numFmtId="189" fontId="0" fillId="0" borderId="0" xfId="0" applyFont="1" applyFill="1" applyBorder="1" applyAlignment="1">
      <alignment/>
    </xf>
    <xf numFmtId="189" fontId="0" fillId="0" borderId="19" xfId="0" applyFont="1" applyBorder="1" applyAlignment="1">
      <alignment/>
    </xf>
    <xf numFmtId="189" fontId="19" fillId="0" borderId="0" xfId="0" applyFont="1" applyAlignment="1">
      <alignment/>
    </xf>
    <xf numFmtId="189" fontId="20" fillId="0" borderId="0" xfId="0" applyFont="1" applyAlignment="1">
      <alignment/>
    </xf>
    <xf numFmtId="189" fontId="0" fillId="0" borderId="0" xfId="0" applyFont="1" applyAlignment="1">
      <alignment wrapText="1"/>
    </xf>
    <xf numFmtId="189" fontId="0" fillId="0" borderId="0" xfId="0" applyFill="1" applyAlignment="1">
      <alignment horizontal="left" wrapText="1"/>
    </xf>
    <xf numFmtId="189" fontId="0" fillId="0" borderId="0" xfId="0" applyFont="1" applyFill="1" applyAlignment="1">
      <alignment/>
    </xf>
    <xf numFmtId="193" fontId="21" fillId="0" borderId="0" xfId="0" applyNumberFormat="1" applyFont="1" applyAlignment="1">
      <alignment horizontal="center"/>
    </xf>
    <xf numFmtId="189" fontId="21" fillId="0" borderId="0" xfId="0" applyFont="1" applyAlignment="1">
      <alignment/>
    </xf>
    <xf numFmtId="189" fontId="22" fillId="0" borderId="0" xfId="0" applyFont="1" applyAlignment="1">
      <alignment/>
    </xf>
    <xf numFmtId="181" fontId="21" fillId="0" borderId="0" xfId="119" applyNumberFormat="1" applyFont="1" applyAlignment="1">
      <alignment/>
    </xf>
    <xf numFmtId="189" fontId="3" fillId="0" borderId="0" xfId="0" applyFont="1" applyAlignment="1">
      <alignment/>
    </xf>
    <xf numFmtId="193" fontId="20" fillId="0" borderId="0" xfId="119" applyNumberFormat="1" applyFont="1" applyFill="1" applyBorder="1" applyAlignment="1">
      <alignment horizontal="center"/>
    </xf>
    <xf numFmtId="189" fontId="6" fillId="0" borderId="0" xfId="0" applyFont="1" applyFill="1" applyAlignment="1">
      <alignment horizontal="left" wrapText="1"/>
    </xf>
    <xf numFmtId="189" fontId="13" fillId="0" borderId="0" xfId="0" applyFont="1" applyFill="1" applyAlignment="1">
      <alignment wrapText="1"/>
    </xf>
    <xf numFmtId="189" fontId="13" fillId="0" borderId="0" xfId="0" applyFont="1" applyFill="1" applyAlignment="1">
      <alignment/>
    </xf>
    <xf numFmtId="189" fontId="21" fillId="0" borderId="0" xfId="0" applyFont="1" applyFill="1" applyAlignment="1">
      <alignment/>
    </xf>
    <xf numFmtId="189" fontId="23" fillId="0" borderId="0" xfId="0" applyFont="1" applyAlignment="1">
      <alignment/>
    </xf>
    <xf numFmtId="189" fontId="20" fillId="0" borderId="0" xfId="0" applyFont="1" applyFill="1" applyAlignment="1">
      <alignment/>
    </xf>
    <xf numFmtId="189" fontId="11" fillId="0" borderId="0" xfId="0" applyFont="1" applyFill="1" applyBorder="1" applyAlignment="1">
      <alignment/>
    </xf>
    <xf numFmtId="189" fontId="11" fillId="0" borderId="0" xfId="0" applyFont="1" applyAlignment="1">
      <alignment/>
    </xf>
    <xf numFmtId="189" fontId="6" fillId="0" borderId="0" xfId="0" applyFont="1" applyFill="1" applyAlignment="1">
      <alignment/>
    </xf>
    <xf numFmtId="173" fontId="6" fillId="0" borderId="0" xfId="0" applyNumberFormat="1" applyFont="1" applyAlignment="1">
      <alignment/>
    </xf>
    <xf numFmtId="173" fontId="6" fillId="0" borderId="0" xfId="0" applyNumberFormat="1" applyFont="1" applyFill="1" applyAlignment="1">
      <alignment/>
    </xf>
    <xf numFmtId="189" fontId="5" fillId="0" borderId="0" xfId="0" applyFont="1" applyAlignment="1">
      <alignment/>
    </xf>
    <xf numFmtId="189" fontId="6" fillId="0" borderId="0" xfId="0" applyFont="1" applyBorder="1" applyAlignment="1">
      <alignment/>
    </xf>
    <xf numFmtId="173" fontId="6" fillId="0" borderId="19" xfId="201" applyNumberFormat="1" applyFont="1" applyFill="1" applyBorder="1" applyAlignment="1">
      <alignment horizontal="right"/>
    </xf>
    <xf numFmtId="174" fontId="0" fillId="0" borderId="0" xfId="0" applyNumberFormat="1" applyFill="1" applyBorder="1" applyAlignment="1">
      <alignment/>
    </xf>
    <xf numFmtId="173" fontId="0" fillId="0" borderId="0" xfId="0" applyNumberFormat="1" applyFill="1" applyBorder="1" applyAlignment="1">
      <alignment/>
    </xf>
    <xf numFmtId="175" fontId="0" fillId="0" borderId="0" xfId="0" applyNumberFormat="1" applyFill="1" applyBorder="1" applyAlignment="1">
      <alignment/>
    </xf>
    <xf numFmtId="174" fontId="6" fillId="0" borderId="0" xfId="0" applyNumberFormat="1" applyFont="1" applyFill="1" applyBorder="1" applyAlignment="1">
      <alignment/>
    </xf>
    <xf numFmtId="174" fontId="6" fillId="0" borderId="23" xfId="0" applyNumberFormat="1" applyFont="1" applyFill="1" applyBorder="1" applyAlignment="1">
      <alignment/>
    </xf>
    <xf numFmtId="173" fontId="6" fillId="0" borderId="19" xfId="0" applyNumberFormat="1" applyFont="1" applyFill="1" applyBorder="1" applyAlignment="1">
      <alignment/>
    </xf>
    <xf numFmtId="174" fontId="6" fillId="0" borderId="26" xfId="0" applyNumberFormat="1" applyFont="1" applyFill="1" applyBorder="1" applyAlignment="1">
      <alignment/>
    </xf>
    <xf numFmtId="174" fontId="6" fillId="0" borderId="22" xfId="96" applyNumberFormat="1" applyFont="1" applyFill="1" applyBorder="1" applyAlignment="1">
      <alignment/>
    </xf>
    <xf numFmtId="174" fontId="6" fillId="0" borderId="24" xfId="96" applyNumberFormat="1" applyFont="1" applyFill="1" applyBorder="1" applyAlignment="1">
      <alignment/>
    </xf>
    <xf numFmtId="174" fontId="6" fillId="0" borderId="19" xfId="96" applyNumberFormat="1" applyFont="1" applyFill="1" applyBorder="1" applyAlignment="1">
      <alignment/>
    </xf>
    <xf numFmtId="174" fontId="6" fillId="0" borderId="26" xfId="96" applyNumberFormat="1" applyFont="1" applyFill="1" applyBorder="1" applyAlignment="1">
      <alignment/>
    </xf>
    <xf numFmtId="37" fontId="6" fillId="0" borderId="27" xfId="96" applyNumberFormat="1" applyFont="1" applyFill="1" applyBorder="1" applyAlignment="1">
      <alignment/>
    </xf>
    <xf numFmtId="182" fontId="6" fillId="0" borderId="0" xfId="0" applyNumberFormat="1" applyFont="1" applyFill="1" applyBorder="1" applyAlignment="1">
      <alignment horizontal="right"/>
    </xf>
    <xf numFmtId="173" fontId="24" fillId="0" borderId="0" xfId="201" applyNumberFormat="1" applyFont="1" applyFill="1" applyBorder="1" applyAlignment="1">
      <alignment horizontal="right"/>
    </xf>
    <xf numFmtId="189" fontId="6" fillId="0" borderId="28" xfId="0" applyFont="1" applyBorder="1" applyAlignment="1">
      <alignment/>
    </xf>
    <xf numFmtId="189" fontId="6" fillId="0" borderId="22" xfId="0" applyFont="1" applyBorder="1" applyAlignment="1">
      <alignment/>
    </xf>
    <xf numFmtId="189" fontId="6" fillId="0" borderId="29" xfId="0" applyFont="1" applyBorder="1" applyAlignment="1">
      <alignment/>
    </xf>
    <xf numFmtId="174" fontId="6" fillId="0" borderId="0" xfId="0" applyNumberFormat="1" applyFont="1" applyAlignment="1">
      <alignment/>
    </xf>
    <xf numFmtId="174" fontId="6" fillId="0" borderId="29" xfId="0" applyNumberFormat="1" applyFont="1" applyBorder="1" applyAlignment="1">
      <alignment/>
    </xf>
    <xf numFmtId="174" fontId="6" fillId="0" borderId="30" xfId="96" applyNumberFormat="1" applyFont="1" applyFill="1" applyBorder="1" applyAlignment="1">
      <alignment/>
    </xf>
    <xf numFmtId="173" fontId="6" fillId="0" borderId="32" xfId="201" applyNumberFormat="1" applyFont="1" applyFill="1" applyBorder="1" applyAlignment="1">
      <alignment horizontal="right"/>
    </xf>
    <xf numFmtId="37" fontId="6" fillId="0" borderId="33" xfId="96" applyNumberFormat="1" applyFont="1" applyFill="1" applyBorder="1" applyAlignment="1">
      <alignment/>
    </xf>
    <xf numFmtId="174" fontId="6" fillId="0" borderId="31" xfId="0" applyNumberFormat="1" applyFont="1" applyBorder="1" applyAlignment="1">
      <alignment/>
    </xf>
    <xf numFmtId="174" fontId="6" fillId="0" borderId="32" xfId="0" applyNumberFormat="1" applyFont="1" applyBorder="1" applyAlignment="1">
      <alignment/>
    </xf>
    <xf numFmtId="37" fontId="6" fillId="0" borderId="28" xfId="96" applyNumberFormat="1" applyFont="1" applyFill="1" applyBorder="1" applyAlignment="1">
      <alignment/>
    </xf>
    <xf numFmtId="174" fontId="6" fillId="0" borderId="28" xfId="0" applyNumberFormat="1" applyFont="1" applyBorder="1" applyAlignment="1">
      <alignment/>
    </xf>
    <xf numFmtId="37" fontId="6" fillId="0" borderId="27" xfId="0" applyNumberFormat="1" applyFont="1" applyFill="1" applyBorder="1" applyAlignment="1">
      <alignment/>
    </xf>
    <xf numFmtId="174" fontId="6" fillId="0" borderId="27" xfId="0" applyNumberFormat="1" applyFont="1" applyBorder="1" applyAlignment="1">
      <alignment/>
    </xf>
    <xf numFmtId="37" fontId="6" fillId="0" borderId="30" xfId="96" applyNumberFormat="1" applyFont="1" applyFill="1" applyBorder="1" applyAlignment="1">
      <alignment/>
    </xf>
    <xf numFmtId="37" fontId="6" fillId="0" borderId="27" xfId="0" applyNumberFormat="1" applyFont="1" applyBorder="1" applyAlignment="1">
      <alignment/>
    </xf>
    <xf numFmtId="37" fontId="6" fillId="0" borderId="0" xfId="0" applyNumberFormat="1" applyFont="1" applyAlignment="1">
      <alignment/>
    </xf>
    <xf numFmtId="37" fontId="6" fillId="0" borderId="34" xfId="96" applyNumberFormat="1" applyFont="1" applyFill="1" applyBorder="1" applyAlignment="1">
      <alignment/>
    </xf>
    <xf numFmtId="173" fontId="6" fillId="0" borderId="35" xfId="201" applyNumberFormat="1" applyFont="1" applyFill="1" applyBorder="1" applyAlignment="1">
      <alignment horizontal="right"/>
    </xf>
    <xf numFmtId="37" fontId="6" fillId="0" borderId="36" xfId="96" applyNumberFormat="1" applyFont="1" applyFill="1" applyBorder="1" applyAlignment="1">
      <alignment/>
    </xf>
    <xf numFmtId="174" fontId="6" fillId="0" borderId="37" xfId="0" applyNumberFormat="1" applyFont="1" applyBorder="1" applyAlignment="1">
      <alignment/>
    </xf>
    <xf numFmtId="174" fontId="6" fillId="0" borderId="35" xfId="0" applyNumberFormat="1" applyFont="1" applyBorder="1" applyAlignment="1">
      <alignment/>
    </xf>
    <xf numFmtId="175" fontId="6" fillId="0" borderId="0" xfId="0" applyNumberFormat="1" applyFont="1" applyBorder="1" applyAlignment="1">
      <alignment/>
    </xf>
    <xf numFmtId="173" fontId="6" fillId="0" borderId="0" xfId="0" applyNumberFormat="1" applyFont="1" applyBorder="1" applyAlignment="1">
      <alignment/>
    </xf>
    <xf numFmtId="173" fontId="6" fillId="0" borderId="0" xfId="96" applyNumberFormat="1" applyFont="1" applyFill="1" applyBorder="1" applyAlignment="1">
      <alignment/>
    </xf>
    <xf numFmtId="180" fontId="6" fillId="0" borderId="0" xfId="96" applyNumberFormat="1" applyFont="1" applyFill="1" applyBorder="1" applyAlignment="1">
      <alignment/>
    </xf>
    <xf numFmtId="176" fontId="6" fillId="0" borderId="0" xfId="0" applyNumberFormat="1" applyFont="1" applyBorder="1" applyAlignment="1">
      <alignment/>
    </xf>
    <xf numFmtId="176" fontId="6" fillId="0" borderId="0" xfId="0" applyNumberFormat="1" applyFont="1" applyFill="1" applyBorder="1" applyAlignment="1">
      <alignment/>
    </xf>
    <xf numFmtId="175" fontId="6" fillId="0" borderId="0" xfId="201" applyNumberFormat="1" applyFont="1" applyFill="1" applyBorder="1" applyAlignment="1">
      <alignment/>
    </xf>
    <xf numFmtId="173" fontId="8" fillId="0" borderId="0" xfId="0" applyNumberFormat="1" applyFont="1" applyBorder="1" applyAlignment="1">
      <alignment/>
    </xf>
    <xf numFmtId="189" fontId="6" fillId="0" borderId="25" xfId="0" applyFont="1" applyBorder="1" applyAlignment="1">
      <alignment/>
    </xf>
    <xf numFmtId="189" fontId="6" fillId="0" borderId="21" xfId="0" applyFont="1" applyBorder="1" applyAlignment="1">
      <alignment/>
    </xf>
    <xf numFmtId="189" fontId="6" fillId="0" borderId="20" xfId="0" applyFont="1" applyBorder="1" applyAlignment="1">
      <alignment/>
    </xf>
    <xf numFmtId="189" fontId="6" fillId="0" borderId="0" xfId="0" applyFont="1" applyFill="1" applyBorder="1" applyAlignment="1">
      <alignment horizontal="center"/>
    </xf>
    <xf numFmtId="37" fontId="6" fillId="0" borderId="26" xfId="0" applyNumberFormat="1" applyFont="1" applyBorder="1" applyAlignment="1">
      <alignment/>
    </xf>
    <xf numFmtId="189" fontId="6" fillId="0" borderId="27" xfId="0" applyFont="1" applyFill="1" applyBorder="1" applyAlignment="1">
      <alignment/>
    </xf>
    <xf numFmtId="189" fontId="6" fillId="0" borderId="29" xfId="0" applyFont="1" applyBorder="1" applyAlignment="1">
      <alignment horizontal="left" indent="1"/>
    </xf>
    <xf numFmtId="37" fontId="6" fillId="0" borderId="27" xfId="96" applyNumberFormat="1" applyFont="1" applyFill="1" applyBorder="1" applyAlignment="1">
      <alignment horizontal="right"/>
    </xf>
    <xf numFmtId="37" fontId="6" fillId="0" borderId="33" xfId="96" applyNumberFormat="1" applyFont="1" applyFill="1" applyBorder="1" applyAlignment="1">
      <alignment horizontal="right"/>
    </xf>
    <xf numFmtId="189" fontId="6" fillId="0" borderId="27" xfId="0" applyFont="1" applyBorder="1" applyAlignment="1">
      <alignment horizontal="right"/>
    </xf>
    <xf numFmtId="174" fontId="6" fillId="0" borderId="27" xfId="0" applyNumberFormat="1" applyFont="1" applyBorder="1" applyAlignment="1">
      <alignment horizontal="right"/>
    </xf>
    <xf numFmtId="37" fontId="6" fillId="0" borderId="27" xfId="0" applyNumberFormat="1" applyFont="1" applyFill="1" applyBorder="1" applyAlignment="1">
      <alignment horizontal="right"/>
    </xf>
    <xf numFmtId="37" fontId="6" fillId="0" borderId="26" xfId="96" applyNumberFormat="1" applyFont="1" applyFill="1" applyBorder="1" applyAlignment="1">
      <alignment/>
    </xf>
    <xf numFmtId="37" fontId="6" fillId="0" borderId="26" xfId="96" applyNumberFormat="1" applyFont="1" applyFill="1" applyBorder="1" applyAlignment="1">
      <alignment horizontal="right"/>
    </xf>
    <xf numFmtId="182" fontId="6" fillId="0" borderId="0" xfId="0" applyNumberFormat="1" applyFont="1" applyAlignment="1">
      <alignment/>
    </xf>
    <xf numFmtId="37" fontId="6" fillId="0" borderId="36" xfId="96" applyNumberFormat="1" applyFont="1" applyFill="1" applyBorder="1" applyAlignment="1">
      <alignment horizontal="right"/>
    </xf>
    <xf numFmtId="189" fontId="13" fillId="0" borderId="0" xfId="0" applyFont="1" applyBorder="1" applyAlignment="1">
      <alignment/>
    </xf>
    <xf numFmtId="37" fontId="6" fillId="0" borderId="23" xfId="96" applyNumberFormat="1" applyFont="1" applyFill="1" applyBorder="1" applyAlignment="1">
      <alignment/>
    </xf>
    <xf numFmtId="37" fontId="6" fillId="0" borderId="0" xfId="96" applyNumberFormat="1" applyFont="1" applyFill="1" applyBorder="1" applyAlignment="1">
      <alignment/>
    </xf>
    <xf numFmtId="174" fontId="6" fillId="0" borderId="0" xfId="0" applyNumberFormat="1" applyFont="1" applyBorder="1" applyAlignment="1">
      <alignment/>
    </xf>
    <xf numFmtId="174" fontId="6" fillId="0" borderId="0" xfId="0" applyNumberFormat="1" applyFont="1" applyBorder="1" applyAlignment="1">
      <alignment horizontal="right"/>
    </xf>
    <xf numFmtId="174" fontId="6" fillId="0" borderId="28" xfId="0" applyNumberFormat="1" applyFont="1" applyBorder="1" applyAlignment="1">
      <alignment horizontal="right"/>
    </xf>
    <xf numFmtId="37" fontId="6" fillId="0" borderId="29" xfId="96" applyNumberFormat="1" applyFont="1" applyFill="1" applyBorder="1" applyAlignment="1">
      <alignment/>
    </xf>
    <xf numFmtId="174" fontId="6" fillId="0" borderId="29" xfId="0" applyNumberFormat="1" applyFont="1" applyBorder="1" applyAlignment="1">
      <alignment horizontal="right"/>
    </xf>
    <xf numFmtId="37" fontId="6" fillId="0" borderId="24" xfId="96" applyNumberFormat="1" applyFont="1" applyFill="1" applyBorder="1" applyAlignment="1">
      <alignment/>
    </xf>
    <xf numFmtId="37" fontId="6" fillId="0" borderId="19" xfId="96" applyNumberFormat="1" applyFont="1" applyFill="1" applyBorder="1" applyAlignment="1">
      <alignment/>
    </xf>
    <xf numFmtId="37" fontId="6" fillId="0" borderId="31" xfId="96" applyNumberFormat="1" applyFont="1" applyFill="1" applyBorder="1" applyAlignment="1">
      <alignment/>
    </xf>
    <xf numFmtId="37" fontId="6" fillId="0" borderId="32" xfId="96" applyNumberFormat="1" applyFont="1" applyFill="1" applyBorder="1" applyAlignment="1">
      <alignment/>
    </xf>
    <xf numFmtId="37" fontId="6" fillId="0" borderId="37" xfId="96" applyNumberFormat="1" applyFont="1" applyFill="1" applyBorder="1" applyAlignment="1">
      <alignment/>
    </xf>
    <xf numFmtId="37" fontId="6" fillId="0" borderId="35" xfId="96" applyNumberFormat="1" applyFont="1" applyFill="1" applyBorder="1" applyAlignment="1">
      <alignment/>
    </xf>
    <xf numFmtId="37" fontId="6" fillId="0" borderId="20" xfId="96" applyNumberFormat="1" applyFont="1" applyFill="1" applyBorder="1" applyAlignment="1">
      <alignment/>
    </xf>
    <xf numFmtId="37" fontId="6" fillId="0" borderId="22" xfId="96" applyNumberFormat="1" applyFont="1" applyFill="1" applyBorder="1" applyAlignment="1">
      <alignment/>
    </xf>
    <xf numFmtId="37" fontId="6" fillId="0" borderId="25" xfId="96" applyNumberFormat="1" applyFont="1" applyFill="1" applyBorder="1" applyAlignment="1">
      <alignment/>
    </xf>
    <xf numFmtId="172" fontId="6" fillId="0" borderId="0" xfId="0" applyNumberFormat="1" applyFont="1" applyAlignment="1">
      <alignment/>
    </xf>
    <xf numFmtId="182" fontId="6" fillId="0" borderId="0" xfId="201" applyNumberFormat="1" applyFont="1" applyFill="1" applyAlignment="1">
      <alignment/>
    </xf>
    <xf numFmtId="37" fontId="6" fillId="0" borderId="23" xfId="0" applyNumberFormat="1" applyFont="1" applyBorder="1" applyAlignment="1">
      <alignment/>
    </xf>
    <xf numFmtId="37" fontId="6" fillId="0" borderId="20" xfId="0" applyNumberFormat="1" applyFont="1" applyBorder="1" applyAlignment="1">
      <alignment/>
    </xf>
    <xf numFmtId="37" fontId="6" fillId="0" borderId="28" xfId="0" applyNumberFormat="1" applyFont="1" applyBorder="1" applyAlignment="1">
      <alignment/>
    </xf>
    <xf numFmtId="189" fontId="11" fillId="0" borderId="28" xfId="0" applyFont="1" applyFill="1" applyBorder="1" applyAlignment="1">
      <alignment horizontal="center"/>
    </xf>
    <xf numFmtId="189" fontId="11" fillId="0" borderId="29" xfId="0" applyFont="1" applyFill="1" applyBorder="1" applyAlignment="1">
      <alignment horizontal="center"/>
    </xf>
    <xf numFmtId="37" fontId="6" fillId="0" borderId="0" xfId="96" applyNumberFormat="1" applyFont="1" applyFill="1" applyBorder="1" applyAlignment="1">
      <alignment horizontal="right"/>
    </xf>
    <xf numFmtId="37" fontId="6" fillId="0" borderId="21" xfId="96" applyNumberFormat="1" applyFont="1" applyFill="1" applyBorder="1" applyAlignment="1">
      <alignment horizontal="right"/>
    </xf>
    <xf numFmtId="37" fontId="6" fillId="0" borderId="22" xfId="96" applyNumberFormat="1" applyFont="1" applyFill="1" applyBorder="1" applyAlignment="1">
      <alignment horizontal="right"/>
    </xf>
    <xf numFmtId="37" fontId="6" fillId="0" borderId="28" xfId="96" applyNumberFormat="1" applyFont="1" applyFill="1" applyBorder="1" applyAlignment="1">
      <alignment horizontal="right"/>
    </xf>
    <xf numFmtId="37" fontId="6" fillId="0" borderId="29" xfId="96" applyNumberFormat="1" applyFont="1" applyFill="1" applyBorder="1" applyAlignment="1">
      <alignment horizontal="right"/>
    </xf>
    <xf numFmtId="37" fontId="6" fillId="0" borderId="23" xfId="96" applyNumberFormat="1" applyFont="1" applyFill="1" applyBorder="1" applyAlignment="1">
      <alignment horizontal="right"/>
    </xf>
    <xf numFmtId="37" fontId="6" fillId="0" borderId="24" xfId="96" applyNumberFormat="1" applyFont="1" applyFill="1" applyBorder="1" applyAlignment="1">
      <alignment horizontal="right"/>
    </xf>
    <xf numFmtId="37" fontId="6" fillId="0" borderId="19" xfId="96" applyNumberFormat="1" applyFont="1" applyFill="1" applyBorder="1" applyAlignment="1">
      <alignment horizontal="right"/>
    </xf>
    <xf numFmtId="174" fontId="6" fillId="0" borderId="28" xfId="96" applyNumberFormat="1" applyFont="1" applyFill="1" applyBorder="1" applyAlignment="1">
      <alignment horizontal="right"/>
    </xf>
    <xf numFmtId="189" fontId="6" fillId="0" borderId="0" xfId="0" applyFont="1" applyBorder="1" applyAlignment="1">
      <alignment horizontal="right"/>
    </xf>
    <xf numFmtId="189" fontId="6" fillId="0" borderId="28" xfId="0" applyFont="1" applyBorder="1" applyAlignment="1">
      <alignment horizontal="right"/>
    </xf>
    <xf numFmtId="189" fontId="6" fillId="0" borderId="0" xfId="0" applyFont="1" applyAlignment="1">
      <alignment horizontal="right"/>
    </xf>
    <xf numFmtId="174" fontId="6" fillId="0" borderId="30" xfId="96" applyNumberFormat="1" applyFont="1" applyFill="1" applyBorder="1" applyAlignment="1">
      <alignment horizontal="right"/>
    </xf>
    <xf numFmtId="37" fontId="6" fillId="0" borderId="30" xfId="96" applyNumberFormat="1" applyFont="1" applyFill="1" applyBorder="1" applyAlignment="1">
      <alignment horizontal="right"/>
    </xf>
    <xf numFmtId="37" fontId="6" fillId="0" borderId="31" xfId="96" applyNumberFormat="1" applyFont="1" applyFill="1" applyBorder="1" applyAlignment="1">
      <alignment horizontal="right"/>
    </xf>
    <xf numFmtId="37" fontId="6" fillId="0" borderId="32" xfId="96" applyNumberFormat="1" applyFont="1" applyFill="1" applyBorder="1" applyAlignment="1">
      <alignment horizontal="right"/>
    </xf>
    <xf numFmtId="174" fontId="6" fillId="0" borderId="23" xfId="96" applyNumberFormat="1" applyFont="1" applyFill="1" applyBorder="1" applyAlignment="1">
      <alignment horizontal="right"/>
    </xf>
    <xf numFmtId="37" fontId="6" fillId="0" borderId="34" xfId="96" applyNumberFormat="1" applyFont="1" applyFill="1" applyBorder="1" applyAlignment="1">
      <alignment horizontal="right"/>
    </xf>
    <xf numFmtId="37" fontId="6" fillId="0" borderId="37" xfId="96" applyNumberFormat="1" applyFont="1" applyFill="1" applyBorder="1" applyAlignment="1">
      <alignment horizontal="right"/>
    </xf>
    <xf numFmtId="37" fontId="6" fillId="0" borderId="35" xfId="96" applyNumberFormat="1" applyFont="1" applyFill="1" applyBorder="1" applyAlignment="1">
      <alignment horizontal="right"/>
    </xf>
    <xf numFmtId="174" fontId="6" fillId="0" borderId="0" xfId="96" applyNumberFormat="1" applyFont="1" applyFill="1" applyBorder="1" applyAlignment="1">
      <alignment horizontal="right"/>
    </xf>
    <xf numFmtId="189" fontId="6" fillId="0" borderId="0" xfId="0" applyFont="1" applyFill="1" applyBorder="1" applyAlignment="1">
      <alignment horizontal="right"/>
    </xf>
    <xf numFmtId="189" fontId="11" fillId="0" borderId="0" xfId="0" applyFont="1" applyFill="1" applyBorder="1" applyAlignment="1">
      <alignment horizontal="right"/>
    </xf>
    <xf numFmtId="37" fontId="6" fillId="0" borderId="25" xfId="96" applyNumberFormat="1" applyFont="1" applyFill="1" applyBorder="1" applyAlignment="1">
      <alignment horizontal="right"/>
    </xf>
    <xf numFmtId="189" fontId="8" fillId="0" borderId="0" xfId="0" applyFont="1" applyAlignment="1">
      <alignment/>
    </xf>
    <xf numFmtId="189" fontId="11" fillId="0" borderId="27" xfId="0" applyFont="1" applyFill="1" applyBorder="1" applyAlignment="1">
      <alignment horizontal="center"/>
    </xf>
    <xf numFmtId="37" fontId="11" fillId="0" borderId="34" xfId="96" applyNumberFormat="1" applyFont="1" applyFill="1" applyBorder="1" applyAlignment="1">
      <alignment horizontal="right"/>
    </xf>
    <xf numFmtId="37" fontId="11" fillId="0" borderId="37" xfId="96" applyNumberFormat="1" applyFont="1" applyFill="1" applyBorder="1" applyAlignment="1">
      <alignment horizontal="right"/>
    </xf>
    <xf numFmtId="37" fontId="11" fillId="0" borderId="35" xfId="96" applyNumberFormat="1" applyFont="1" applyFill="1" applyBorder="1" applyAlignment="1">
      <alignment horizontal="right"/>
    </xf>
    <xf numFmtId="37" fontId="11" fillId="0" borderId="36" xfId="96" applyNumberFormat="1" applyFont="1" applyFill="1" applyBorder="1" applyAlignment="1">
      <alignment horizontal="right"/>
    </xf>
    <xf numFmtId="189" fontId="3" fillId="0" borderId="0" xfId="0" applyFont="1" applyFill="1" applyAlignment="1">
      <alignment horizontal="left"/>
    </xf>
    <xf numFmtId="189" fontId="5" fillId="0" borderId="0" xfId="0" applyFont="1" applyFill="1" applyAlignment="1">
      <alignment/>
    </xf>
    <xf numFmtId="189" fontId="8" fillId="0" borderId="0" xfId="0" applyFont="1" applyFill="1" applyAlignment="1">
      <alignment/>
    </xf>
    <xf numFmtId="189" fontId="0" fillId="0" borderId="0" xfId="0" applyFill="1" applyBorder="1" applyAlignment="1">
      <alignment wrapText="1"/>
    </xf>
    <xf numFmtId="189" fontId="6" fillId="0" borderId="0" xfId="0" applyFont="1" applyFill="1" applyAlignment="1">
      <alignment/>
    </xf>
    <xf numFmtId="189" fontId="0" fillId="0" borderId="0" xfId="0" applyFill="1" applyAlignment="1">
      <alignment horizontal="left"/>
    </xf>
    <xf numFmtId="189" fontId="0" fillId="0" borderId="27" xfId="0" applyFont="1" applyBorder="1" applyAlignment="1">
      <alignment/>
    </xf>
    <xf numFmtId="175" fontId="6" fillId="0" borderId="27" xfId="96" applyNumberFormat="1" applyFont="1" applyFill="1" applyBorder="1" applyAlignment="1">
      <alignment/>
    </xf>
    <xf numFmtId="174" fontId="6" fillId="0" borderId="0" xfId="0" applyNumberFormat="1" applyFont="1" applyFill="1" applyAlignment="1">
      <alignment/>
    </xf>
    <xf numFmtId="189" fontId="28" fillId="0" borderId="0" xfId="0" applyFont="1" applyAlignment="1">
      <alignment/>
    </xf>
    <xf numFmtId="189" fontId="8" fillId="0" borderId="0" xfId="0" applyFont="1" applyBorder="1" applyAlignment="1">
      <alignment/>
    </xf>
    <xf numFmtId="37" fontId="0" fillId="0" borderId="0" xfId="0" applyNumberFormat="1" applyFont="1" applyBorder="1" applyAlignment="1">
      <alignment/>
    </xf>
    <xf numFmtId="37" fontId="6" fillId="0" borderId="0" xfId="0" applyNumberFormat="1" applyFont="1" applyBorder="1" applyAlignment="1">
      <alignment horizontal="right"/>
    </xf>
    <xf numFmtId="176" fontId="0" fillId="0" borderId="0" xfId="0" applyNumberFormat="1" applyFont="1" applyBorder="1" applyAlignment="1">
      <alignment/>
    </xf>
    <xf numFmtId="176" fontId="6" fillId="0" borderId="0" xfId="96" applyNumberFormat="1" applyFont="1" applyFill="1" applyBorder="1" applyAlignment="1">
      <alignment horizontal="right"/>
    </xf>
    <xf numFmtId="176" fontId="6" fillId="0" borderId="0" xfId="0" applyNumberFormat="1" applyFont="1" applyBorder="1" applyAlignment="1">
      <alignment horizontal="right"/>
    </xf>
    <xf numFmtId="176" fontId="6" fillId="0" borderId="0" xfId="0" applyNumberFormat="1" applyFont="1" applyAlignment="1">
      <alignment/>
    </xf>
    <xf numFmtId="176" fontId="0" fillId="0" borderId="0" xfId="0" applyNumberFormat="1" applyAlignment="1">
      <alignment/>
    </xf>
    <xf numFmtId="176" fontId="0" fillId="0" borderId="0" xfId="0" applyNumberFormat="1" applyBorder="1" applyAlignment="1">
      <alignment/>
    </xf>
    <xf numFmtId="189" fontId="30" fillId="0" borderId="0" xfId="0" applyFont="1" applyFill="1" applyBorder="1" applyAlignment="1">
      <alignment horizontal="center"/>
    </xf>
    <xf numFmtId="37" fontId="0" fillId="0" borderId="28" xfId="0" applyNumberFormat="1" applyFont="1" applyBorder="1" applyAlignment="1">
      <alignment/>
    </xf>
    <xf numFmtId="37" fontId="0" fillId="0" borderId="27" xfId="0" applyNumberFormat="1" applyFont="1" applyBorder="1" applyAlignment="1">
      <alignment/>
    </xf>
    <xf numFmtId="37" fontId="0" fillId="0" borderId="23" xfId="0" applyNumberFormat="1" applyFont="1" applyBorder="1" applyAlignment="1">
      <alignment/>
    </xf>
    <xf numFmtId="37" fontId="0" fillId="0" borderId="26" xfId="0" applyNumberFormat="1" applyFont="1" applyBorder="1" applyAlignment="1">
      <alignment/>
    </xf>
    <xf numFmtId="37" fontId="6" fillId="0" borderId="38" xfId="96" applyNumberFormat="1" applyFont="1" applyFill="1" applyBorder="1" applyAlignment="1">
      <alignment horizontal="right"/>
    </xf>
    <xf numFmtId="37" fontId="6" fillId="0" borderId="39" xfId="96" applyNumberFormat="1" applyFont="1" applyFill="1" applyBorder="1" applyAlignment="1">
      <alignment horizontal="right"/>
    </xf>
    <xf numFmtId="189" fontId="0" fillId="0" borderId="40" xfId="0" applyFont="1" applyBorder="1" applyAlignment="1">
      <alignment/>
    </xf>
    <xf numFmtId="189" fontId="0" fillId="0" borderId="41" xfId="0" applyFont="1" applyBorder="1" applyAlignment="1">
      <alignment/>
    </xf>
    <xf numFmtId="37" fontId="0" fillId="0" borderId="40" xfId="0" applyNumberFormat="1" applyFont="1" applyBorder="1" applyAlignment="1">
      <alignment/>
    </xf>
    <xf numFmtId="37" fontId="0" fillId="0" borderId="41" xfId="0" applyNumberFormat="1" applyFont="1" applyBorder="1" applyAlignment="1">
      <alignment/>
    </xf>
    <xf numFmtId="37" fontId="0" fillId="0" borderId="42" xfId="0" applyNumberFormat="1" applyFont="1" applyBorder="1" applyAlignment="1">
      <alignment/>
    </xf>
    <xf numFmtId="37" fontId="0" fillId="0" borderId="43" xfId="0" applyNumberFormat="1" applyFont="1" applyBorder="1" applyAlignment="1">
      <alignment/>
    </xf>
    <xf numFmtId="189" fontId="0" fillId="0" borderId="0" xfId="0" applyBorder="1" applyAlignment="1">
      <alignment horizontal="center"/>
    </xf>
    <xf numFmtId="189" fontId="0" fillId="0" borderId="29" xfId="0" applyBorder="1" applyAlignment="1">
      <alignment horizontal="center"/>
    </xf>
    <xf numFmtId="37" fontId="6" fillId="0" borderId="29" xfId="201" applyNumberFormat="1" applyFont="1" applyFill="1" applyBorder="1" applyAlignment="1">
      <alignment horizontal="right"/>
    </xf>
    <xf numFmtId="176" fontId="0" fillId="0" borderId="23" xfId="0" applyNumberFormat="1" applyFont="1" applyBorder="1" applyAlignment="1">
      <alignment/>
    </xf>
    <xf numFmtId="176" fontId="6" fillId="0" borderId="19" xfId="201" applyNumberFormat="1" applyFont="1" applyFill="1" applyBorder="1" applyAlignment="1">
      <alignment horizontal="right"/>
    </xf>
    <xf numFmtId="176" fontId="0" fillId="0" borderId="26" xfId="0" applyNumberFormat="1" applyFont="1" applyBorder="1" applyAlignment="1">
      <alignment/>
    </xf>
    <xf numFmtId="174" fontId="6" fillId="0" borderId="27" xfId="96" applyNumberFormat="1" applyFont="1" applyFill="1" applyBorder="1" applyAlignment="1">
      <alignment horizontal="right"/>
    </xf>
    <xf numFmtId="176" fontId="6" fillId="0" borderId="26" xfId="96" applyNumberFormat="1" applyFont="1" applyFill="1" applyBorder="1" applyAlignment="1">
      <alignment horizontal="right"/>
    </xf>
    <xf numFmtId="37" fontId="6" fillId="0" borderId="27" xfId="0" applyNumberFormat="1" applyFont="1" applyBorder="1" applyAlignment="1">
      <alignment horizontal="right"/>
    </xf>
    <xf numFmtId="37" fontId="6" fillId="0" borderId="26" xfId="0" applyNumberFormat="1" applyFont="1" applyBorder="1" applyAlignment="1">
      <alignment horizontal="right"/>
    </xf>
    <xf numFmtId="176" fontId="6" fillId="0" borderId="26" xfId="0" applyNumberFormat="1" applyFont="1" applyBorder="1" applyAlignment="1">
      <alignment horizontal="right"/>
    </xf>
    <xf numFmtId="189" fontId="6" fillId="56" borderId="0" xfId="0" applyFont="1" applyFill="1" applyAlignment="1">
      <alignment/>
    </xf>
    <xf numFmtId="37" fontId="0" fillId="56" borderId="40" xfId="0" applyNumberFormat="1" applyFont="1" applyFill="1" applyBorder="1" applyAlignment="1">
      <alignment/>
    </xf>
    <xf numFmtId="37" fontId="0" fillId="56" borderId="27" xfId="0" applyNumberFormat="1" applyFont="1" applyFill="1" applyBorder="1" applyAlignment="1">
      <alignment/>
    </xf>
    <xf numFmtId="37" fontId="0" fillId="56" borderId="41" xfId="0" applyNumberFormat="1" applyFont="1" applyFill="1" applyBorder="1" applyAlignment="1">
      <alignment/>
    </xf>
    <xf numFmtId="37" fontId="0" fillId="56" borderId="0" xfId="0" applyNumberFormat="1" applyFont="1" applyFill="1" applyBorder="1" applyAlignment="1">
      <alignment/>
    </xf>
    <xf numFmtId="37" fontId="0" fillId="0" borderId="0" xfId="0" applyNumberFormat="1" applyFont="1" applyFill="1" applyBorder="1" applyAlignment="1">
      <alignment/>
    </xf>
    <xf numFmtId="37" fontId="0" fillId="0" borderId="24" xfId="0" applyNumberFormat="1" applyFont="1" applyBorder="1" applyAlignment="1">
      <alignment/>
    </xf>
    <xf numFmtId="37" fontId="6" fillId="0" borderId="44" xfId="96" applyNumberFormat="1" applyFont="1" applyFill="1" applyBorder="1" applyAlignment="1">
      <alignment horizontal="right"/>
    </xf>
    <xf numFmtId="189" fontId="0" fillId="0" borderId="45" xfId="0" applyBorder="1" applyAlignment="1">
      <alignment/>
    </xf>
    <xf numFmtId="37" fontId="0" fillId="0" borderId="45" xfId="0" applyNumberFormat="1" applyFont="1" applyBorder="1" applyAlignment="1">
      <alignment/>
    </xf>
    <xf numFmtId="37" fontId="0" fillId="56" borderId="45" xfId="0" applyNumberFormat="1" applyFont="1" applyFill="1" applyBorder="1" applyAlignment="1">
      <alignment/>
    </xf>
    <xf numFmtId="37" fontId="0" fillId="0" borderId="46" xfId="0" applyNumberFormat="1" applyFont="1" applyBorder="1" applyAlignment="1">
      <alignment/>
    </xf>
    <xf numFmtId="189" fontId="11" fillId="0" borderId="29" xfId="0" applyFont="1" applyBorder="1" applyAlignment="1">
      <alignment horizontal="center"/>
    </xf>
    <xf numFmtId="37" fontId="6" fillId="0" borderId="24" xfId="0" applyNumberFormat="1" applyFont="1" applyBorder="1" applyAlignment="1">
      <alignment horizontal="right"/>
    </xf>
    <xf numFmtId="176" fontId="0" fillId="0" borderId="47" xfId="0" applyNumberFormat="1" applyFont="1" applyBorder="1" applyAlignment="1">
      <alignment/>
    </xf>
    <xf numFmtId="176" fontId="0" fillId="0" borderId="48" xfId="0" applyNumberFormat="1" applyFont="1" applyBorder="1" applyAlignment="1">
      <alignment/>
    </xf>
    <xf numFmtId="176" fontId="0" fillId="0" borderId="49" xfId="0" applyNumberFormat="1" applyFont="1" applyBorder="1" applyAlignment="1">
      <alignment/>
    </xf>
    <xf numFmtId="176" fontId="0" fillId="0" borderId="50" xfId="0" applyNumberFormat="1" applyFont="1" applyBorder="1" applyAlignment="1">
      <alignment/>
    </xf>
    <xf numFmtId="176" fontId="0" fillId="0" borderId="51" xfId="0" applyNumberFormat="1" applyFont="1" applyBorder="1" applyAlignment="1">
      <alignment/>
    </xf>
    <xf numFmtId="43" fontId="0" fillId="0" borderId="0" xfId="96" applyFont="1" applyAlignment="1">
      <alignment/>
    </xf>
    <xf numFmtId="189" fontId="0" fillId="0" borderId="52" xfId="0" applyBorder="1" applyAlignment="1">
      <alignment/>
    </xf>
    <xf numFmtId="189" fontId="0" fillId="0" borderId="53" xfId="0" applyBorder="1" applyAlignment="1">
      <alignment/>
    </xf>
    <xf numFmtId="189" fontId="13" fillId="0" borderId="40" xfId="0" applyFont="1" applyBorder="1" applyAlignment="1">
      <alignment/>
    </xf>
    <xf numFmtId="189" fontId="0" fillId="0" borderId="40" xfId="0" applyBorder="1" applyAlignment="1">
      <alignment/>
    </xf>
    <xf numFmtId="189" fontId="0" fillId="0" borderId="41" xfId="0" applyBorder="1" applyAlignment="1">
      <alignment/>
    </xf>
    <xf numFmtId="189" fontId="0" fillId="0" borderId="47" xfId="0" applyBorder="1" applyAlignment="1">
      <alignment/>
    </xf>
    <xf numFmtId="192" fontId="0" fillId="0" borderId="0" xfId="0" applyNumberFormat="1" applyBorder="1" applyAlignment="1">
      <alignment/>
    </xf>
    <xf numFmtId="4" fontId="0" fillId="0" borderId="31" xfId="0" applyNumberFormat="1" applyBorder="1" applyAlignment="1">
      <alignment/>
    </xf>
    <xf numFmtId="190" fontId="0" fillId="0" borderId="0" xfId="0" applyNumberFormat="1" applyFill="1" applyBorder="1" applyAlignment="1">
      <alignment/>
    </xf>
    <xf numFmtId="3" fontId="13" fillId="0" borderId="37" xfId="0" applyNumberFormat="1" applyFont="1" applyBorder="1" applyAlignment="1">
      <alignment/>
    </xf>
    <xf numFmtId="189" fontId="13" fillId="0" borderId="54" xfId="0" applyFont="1" applyBorder="1" applyAlignment="1">
      <alignment/>
    </xf>
    <xf numFmtId="189" fontId="31" fillId="0" borderId="40" xfId="0" applyFont="1" applyBorder="1" applyAlignment="1">
      <alignment/>
    </xf>
    <xf numFmtId="189" fontId="13" fillId="0" borderId="41" xfId="0" applyFont="1" applyBorder="1" applyAlignment="1">
      <alignment/>
    </xf>
    <xf numFmtId="192" fontId="0" fillId="0" borderId="41" xfId="0" applyNumberFormat="1" applyFill="1" applyBorder="1" applyAlignment="1">
      <alignment/>
    </xf>
    <xf numFmtId="4" fontId="0" fillId="0" borderId="55" xfId="0" applyNumberFormat="1" applyBorder="1" applyAlignment="1">
      <alignment/>
    </xf>
    <xf numFmtId="190" fontId="0" fillId="0" borderId="0" xfId="0" applyNumberFormat="1" applyBorder="1" applyAlignment="1">
      <alignment/>
    </xf>
    <xf numFmtId="190" fontId="0" fillId="0" borderId="41" xfId="0" applyNumberFormat="1" applyBorder="1" applyAlignment="1">
      <alignment/>
    </xf>
    <xf numFmtId="3" fontId="13" fillId="0" borderId="56" xfId="0" applyNumberFormat="1" applyFont="1" applyBorder="1" applyAlignment="1">
      <alignment/>
    </xf>
    <xf numFmtId="3" fontId="13" fillId="0" borderId="0" xfId="0" applyNumberFormat="1" applyFont="1" applyBorder="1" applyAlignment="1">
      <alignment/>
    </xf>
    <xf numFmtId="3" fontId="13" fillId="0" borderId="41" xfId="0" applyNumberFormat="1" applyFont="1" applyBorder="1" applyAlignment="1">
      <alignment/>
    </xf>
    <xf numFmtId="3" fontId="13" fillId="0" borderId="50" xfId="0" applyNumberFormat="1" applyFont="1" applyBorder="1" applyAlignment="1">
      <alignment/>
    </xf>
    <xf numFmtId="189" fontId="13" fillId="0" borderId="50" xfId="0" applyFont="1" applyBorder="1" applyAlignment="1">
      <alignment/>
    </xf>
    <xf numFmtId="189" fontId="13" fillId="0" borderId="49" xfId="0" applyFont="1" applyBorder="1" applyAlignment="1">
      <alignment/>
    </xf>
    <xf numFmtId="189" fontId="11" fillId="0" borderId="25" xfId="0" applyFont="1" applyBorder="1" applyAlignment="1">
      <alignment horizontal="center"/>
    </xf>
    <xf numFmtId="174" fontId="6" fillId="0" borderId="25" xfId="0" applyNumberFormat="1" applyFont="1" applyBorder="1" applyAlignment="1">
      <alignment/>
    </xf>
    <xf numFmtId="186" fontId="6" fillId="0" borderId="0" xfId="0" applyNumberFormat="1" applyFont="1" applyFill="1" applyAlignment="1">
      <alignment/>
    </xf>
    <xf numFmtId="174" fontId="6" fillId="0" borderId="29" xfId="96" applyNumberFormat="1" applyFont="1" applyFill="1" applyBorder="1" applyAlignment="1">
      <alignment horizontal="right"/>
    </xf>
    <xf numFmtId="189" fontId="6" fillId="0" borderId="25" xfId="0" applyFont="1" applyFill="1" applyBorder="1" applyAlignment="1">
      <alignment/>
    </xf>
    <xf numFmtId="174" fontId="6" fillId="0" borderId="33" xfId="96" applyNumberFormat="1" applyFont="1" applyFill="1" applyBorder="1" applyAlignment="1">
      <alignment/>
    </xf>
    <xf numFmtId="174" fontId="6" fillId="0" borderId="36" xfId="96" applyNumberFormat="1" applyFont="1" applyFill="1" applyBorder="1" applyAlignment="1">
      <alignment/>
    </xf>
    <xf numFmtId="175" fontId="6" fillId="0" borderId="0" xfId="0" applyNumberFormat="1" applyFont="1" applyFill="1" applyAlignment="1">
      <alignment/>
    </xf>
    <xf numFmtId="173" fontId="6" fillId="0" borderId="0" xfId="201" applyNumberFormat="1" applyFont="1" applyFill="1" applyAlignment="1">
      <alignment/>
    </xf>
    <xf numFmtId="176" fontId="6" fillId="0" borderId="0" xfId="201" applyNumberFormat="1" applyFont="1" applyFill="1" applyAlignment="1">
      <alignment/>
    </xf>
    <xf numFmtId="174" fontId="6" fillId="0" borderId="25" xfId="96" applyNumberFormat="1" applyFont="1" applyFill="1" applyBorder="1" applyAlignment="1">
      <alignment/>
    </xf>
    <xf numFmtId="181" fontId="6" fillId="0" borderId="25" xfId="96" applyNumberFormat="1" applyFont="1" applyFill="1" applyBorder="1" applyAlignment="1">
      <alignment/>
    </xf>
    <xf numFmtId="181" fontId="6" fillId="0" borderId="27" xfId="96" applyNumberFormat="1" applyFont="1" applyFill="1" applyBorder="1" applyAlignment="1">
      <alignment/>
    </xf>
    <xf numFmtId="172" fontId="6" fillId="0" borderId="25" xfId="0" applyNumberFormat="1" applyFont="1" applyFill="1" applyBorder="1" applyAlignment="1">
      <alignment/>
    </xf>
    <xf numFmtId="172" fontId="6" fillId="0" borderId="27" xfId="0" applyNumberFormat="1" applyFont="1" applyFill="1" applyBorder="1" applyAlignment="1">
      <alignment/>
    </xf>
    <xf numFmtId="172" fontId="6" fillId="0" borderId="33" xfId="0" applyNumberFormat="1" applyFont="1" applyFill="1" applyBorder="1" applyAlignment="1">
      <alignment/>
    </xf>
    <xf numFmtId="172" fontId="6" fillId="0" borderId="36" xfId="0" applyNumberFormat="1" applyFont="1" applyFill="1" applyBorder="1" applyAlignment="1">
      <alignment/>
    </xf>
    <xf numFmtId="173" fontId="6" fillId="0" borderId="0" xfId="201" applyNumberFormat="1" applyFont="1" applyFill="1" applyAlignment="1">
      <alignment horizontal="right"/>
    </xf>
    <xf numFmtId="174" fontId="6" fillId="0" borderId="25" xfId="0" applyNumberFormat="1" applyFont="1" applyFill="1" applyBorder="1" applyAlignment="1">
      <alignment/>
    </xf>
    <xf numFmtId="174" fontId="6" fillId="0" borderId="33" xfId="0" applyNumberFormat="1" applyFont="1" applyFill="1" applyBorder="1" applyAlignment="1">
      <alignment/>
    </xf>
    <xf numFmtId="174" fontId="6" fillId="0" borderId="36" xfId="96" applyNumberFormat="1" applyFont="1" applyFill="1" applyBorder="1" applyAlignment="1">
      <alignment horizontal="right"/>
    </xf>
    <xf numFmtId="173" fontId="6" fillId="0" borderId="0" xfId="201" applyNumberFormat="1" applyFont="1" applyAlignment="1">
      <alignment/>
    </xf>
    <xf numFmtId="189" fontId="11" fillId="0" borderId="26" xfId="0" applyFont="1" applyBorder="1" applyAlignment="1">
      <alignment horizontal="center"/>
    </xf>
    <xf numFmtId="185" fontId="6" fillId="0" borderId="25" xfId="0" applyNumberFormat="1" applyFont="1" applyBorder="1" applyAlignment="1">
      <alignment/>
    </xf>
    <xf numFmtId="174" fontId="6" fillId="0" borderId="29" xfId="0" applyNumberFormat="1" applyFont="1" applyFill="1" applyBorder="1" applyAlignment="1">
      <alignment/>
    </xf>
    <xf numFmtId="174" fontId="11" fillId="0" borderId="36" xfId="0" applyNumberFormat="1" applyFont="1" applyBorder="1" applyAlignment="1">
      <alignment/>
    </xf>
    <xf numFmtId="37" fontId="0" fillId="0" borderId="0" xfId="0" applyNumberFormat="1" applyAlignment="1">
      <alignment/>
    </xf>
    <xf numFmtId="189" fontId="6" fillId="0" borderId="23" xfId="0" applyFont="1" applyBorder="1" applyAlignment="1">
      <alignment/>
    </xf>
    <xf numFmtId="173" fontId="6" fillId="0" borderId="19" xfId="201" applyNumberFormat="1" applyFont="1" applyFill="1" applyBorder="1" applyAlignment="1">
      <alignment horizontal="right"/>
    </xf>
    <xf numFmtId="37" fontId="6" fillId="0" borderId="28" xfId="0" applyNumberFormat="1" applyFont="1" applyBorder="1" applyAlignment="1">
      <alignment horizontal="right"/>
    </xf>
    <xf numFmtId="37" fontId="6" fillId="0" borderId="0" xfId="0" applyNumberFormat="1" applyFont="1" applyBorder="1" applyAlignment="1">
      <alignment/>
    </xf>
    <xf numFmtId="174" fontId="6" fillId="0" borderId="31" xfId="96" applyNumberFormat="1" applyFont="1" applyFill="1" applyBorder="1" applyAlignment="1">
      <alignment horizontal="right"/>
    </xf>
    <xf numFmtId="37" fontId="6" fillId="0" borderId="30" xfId="0" applyNumberFormat="1" applyFont="1" applyBorder="1" applyAlignment="1">
      <alignment/>
    </xf>
    <xf numFmtId="37" fontId="6" fillId="0" borderId="31" xfId="0" applyNumberFormat="1" applyFont="1" applyBorder="1" applyAlignment="1">
      <alignment/>
    </xf>
    <xf numFmtId="174" fontId="6" fillId="0" borderId="37" xfId="96" applyNumberFormat="1" applyFont="1" applyFill="1" applyBorder="1" applyAlignment="1">
      <alignment horizontal="right"/>
    </xf>
    <xf numFmtId="174" fontId="6" fillId="0" borderId="24" xfId="96" applyNumberFormat="1" applyFont="1" applyFill="1" applyBorder="1" applyAlignment="1">
      <alignment horizontal="right"/>
    </xf>
    <xf numFmtId="37" fontId="6" fillId="0" borderId="30" xfId="0" applyNumberFormat="1" applyFont="1" applyBorder="1" applyAlignment="1">
      <alignment horizontal="right"/>
    </xf>
    <xf numFmtId="37" fontId="6" fillId="0" borderId="34" xfId="0" applyNumberFormat="1" applyFont="1" applyBorder="1" applyAlignment="1">
      <alignment horizontal="right"/>
    </xf>
    <xf numFmtId="37" fontId="6" fillId="0" borderId="24" xfId="0" applyNumberFormat="1" applyFont="1" applyBorder="1" applyAlignment="1">
      <alignment/>
    </xf>
    <xf numFmtId="174" fontId="6" fillId="0" borderId="31" xfId="96" applyNumberFormat="1" applyFont="1" applyFill="1" applyBorder="1" applyAlignment="1">
      <alignment/>
    </xf>
    <xf numFmtId="37" fontId="6" fillId="0" borderId="21" xfId="0" applyNumberFormat="1" applyFont="1" applyBorder="1" applyAlignment="1">
      <alignment/>
    </xf>
    <xf numFmtId="174" fontId="6" fillId="0" borderId="21" xfId="0" applyNumberFormat="1" applyFont="1" applyFill="1" applyBorder="1" applyAlignment="1">
      <alignment/>
    </xf>
    <xf numFmtId="173" fontId="6" fillId="0" borderId="22" xfId="0" applyNumberFormat="1" applyFont="1" applyFill="1" applyBorder="1" applyAlignment="1">
      <alignment/>
    </xf>
    <xf numFmtId="174" fontId="6" fillId="0" borderId="24" xfId="0" applyNumberFormat="1" applyFont="1" applyFill="1" applyBorder="1" applyAlignment="1">
      <alignment/>
    </xf>
    <xf numFmtId="37" fontId="6" fillId="0" borderId="21" xfId="96" applyNumberFormat="1" applyFont="1" applyFill="1" applyBorder="1" applyAlignment="1">
      <alignment/>
    </xf>
    <xf numFmtId="173" fontId="6" fillId="0" borderId="29" xfId="0" applyNumberFormat="1" applyFont="1" applyBorder="1" applyAlignment="1">
      <alignment/>
    </xf>
    <xf numFmtId="174" fontId="6" fillId="0" borderId="24" xfId="0" applyNumberFormat="1" applyFont="1" applyBorder="1" applyAlignment="1">
      <alignment/>
    </xf>
    <xf numFmtId="174" fontId="6" fillId="0" borderId="21" xfId="0" applyNumberFormat="1" applyFont="1" applyBorder="1" applyAlignment="1">
      <alignment/>
    </xf>
    <xf numFmtId="173" fontId="6" fillId="0" borderId="22" xfId="0" applyNumberFormat="1" applyFont="1" applyBorder="1" applyAlignment="1">
      <alignment/>
    </xf>
    <xf numFmtId="173" fontId="6" fillId="0" borderId="32" xfId="0" applyNumberFormat="1" applyFont="1" applyBorder="1" applyAlignment="1">
      <alignment/>
    </xf>
    <xf numFmtId="182" fontId="6" fillId="0" borderId="0" xfId="0" applyNumberFormat="1" applyFont="1" applyFill="1" applyBorder="1" applyAlignment="1">
      <alignment horizontal="right"/>
    </xf>
    <xf numFmtId="175" fontId="6" fillId="0" borderId="24" xfId="0" applyNumberFormat="1" applyFont="1" applyFill="1" applyBorder="1" applyAlignment="1">
      <alignment/>
    </xf>
    <xf numFmtId="175" fontId="6" fillId="0" borderId="19" xfId="0" applyNumberFormat="1" applyFont="1" applyFill="1" applyBorder="1" applyAlignment="1">
      <alignment/>
    </xf>
    <xf numFmtId="174" fontId="32" fillId="0" borderId="27" xfId="96" applyNumberFormat="1" applyFont="1" applyFill="1" applyBorder="1" applyAlignment="1">
      <alignment/>
    </xf>
    <xf numFmtId="174" fontId="33" fillId="0" borderId="27" xfId="96" applyNumberFormat="1" applyFont="1" applyFill="1" applyBorder="1" applyAlignment="1">
      <alignment/>
    </xf>
    <xf numFmtId="189" fontId="6" fillId="0" borderId="26" xfId="0" applyFont="1" applyFill="1" applyBorder="1" applyAlignment="1">
      <alignment/>
    </xf>
    <xf numFmtId="189" fontId="11" fillId="0" borderId="0" xfId="0" applyFont="1" applyFill="1" applyBorder="1" applyAlignment="1">
      <alignment horizontal="center"/>
    </xf>
    <xf numFmtId="189" fontId="11" fillId="0" borderId="25" xfId="0" applyFont="1" applyFill="1" applyBorder="1" applyAlignment="1">
      <alignment horizontal="center"/>
    </xf>
    <xf numFmtId="189" fontId="11" fillId="0" borderId="26" xfId="0" applyFont="1" applyFill="1" applyBorder="1" applyAlignment="1">
      <alignment horizontal="center"/>
    </xf>
    <xf numFmtId="189" fontId="11" fillId="0" borderId="24" xfId="0" applyFont="1" applyFill="1" applyBorder="1" applyAlignment="1">
      <alignment horizontal="center"/>
    </xf>
    <xf numFmtId="189" fontId="11" fillId="0" borderId="23" xfId="0" applyFont="1" applyFill="1" applyBorder="1" applyAlignment="1">
      <alignment horizontal="center"/>
    </xf>
    <xf numFmtId="189" fontId="11" fillId="0" borderId="19" xfId="0" applyFont="1" applyFill="1" applyBorder="1" applyAlignment="1">
      <alignment horizontal="center"/>
    </xf>
    <xf numFmtId="189" fontId="6" fillId="0" borderId="25" xfId="0" applyFont="1" applyFill="1" applyBorder="1" applyAlignment="1">
      <alignment/>
    </xf>
    <xf numFmtId="174" fontId="6" fillId="0" borderId="28" xfId="0" applyNumberFormat="1" applyFont="1" applyFill="1" applyBorder="1" applyAlignment="1">
      <alignment/>
    </xf>
    <xf numFmtId="173" fontId="6" fillId="0" borderId="29" xfId="0" applyNumberFormat="1" applyFont="1" applyFill="1" applyBorder="1" applyAlignment="1">
      <alignment/>
    </xf>
    <xf numFmtId="174" fontId="6" fillId="0" borderId="27" xfId="0" applyNumberFormat="1" applyFont="1" applyFill="1" applyBorder="1" applyAlignment="1">
      <alignment/>
    </xf>
    <xf numFmtId="189" fontId="6" fillId="0" borderId="28" xfId="0" applyFont="1" applyFill="1" applyBorder="1" applyAlignment="1">
      <alignment/>
    </xf>
    <xf numFmtId="189" fontId="6" fillId="0" borderId="29" xfId="0" applyFont="1" applyFill="1" applyBorder="1" applyAlignment="1">
      <alignment/>
    </xf>
    <xf numFmtId="180" fontId="6" fillId="0" borderId="29" xfId="0" applyNumberFormat="1" applyFont="1" applyFill="1" applyBorder="1" applyAlignment="1">
      <alignment horizontal="right"/>
    </xf>
    <xf numFmtId="175" fontId="6" fillId="0" borderId="29" xfId="0" applyNumberFormat="1" applyFont="1" applyFill="1" applyBorder="1" applyAlignment="1">
      <alignment horizontal="right"/>
    </xf>
    <xf numFmtId="173" fontId="6" fillId="0" borderId="28" xfId="201" applyNumberFormat="1" applyFont="1" applyFill="1" applyBorder="1" applyAlignment="1">
      <alignment horizontal="right"/>
    </xf>
    <xf numFmtId="189" fontId="6" fillId="0" borderId="0" xfId="0" applyFont="1" applyFill="1" applyBorder="1" applyAlignment="1">
      <alignment/>
    </xf>
    <xf numFmtId="189" fontId="11" fillId="0" borderId="0" xfId="0" applyFont="1" applyBorder="1" applyAlignment="1">
      <alignment/>
    </xf>
    <xf numFmtId="189" fontId="6" fillId="0" borderId="19" xfId="0" applyFont="1" applyBorder="1" applyAlignment="1">
      <alignment/>
    </xf>
    <xf numFmtId="37" fontId="6" fillId="0" borderId="29" xfId="0" applyNumberFormat="1" applyFont="1" applyBorder="1" applyAlignment="1">
      <alignment/>
    </xf>
    <xf numFmtId="37" fontId="6" fillId="0" borderId="0" xfId="201" applyNumberFormat="1" applyFont="1" applyFill="1" applyBorder="1" applyAlignment="1">
      <alignment/>
    </xf>
    <xf numFmtId="37" fontId="6" fillId="0" borderId="19" xfId="0" applyNumberFormat="1" applyFont="1" applyBorder="1" applyAlignment="1">
      <alignment/>
    </xf>
    <xf numFmtId="37" fontId="6" fillId="0" borderId="19" xfId="0" applyNumberFormat="1" applyFont="1" applyFill="1" applyBorder="1" applyAlignment="1">
      <alignment/>
    </xf>
    <xf numFmtId="37" fontId="6" fillId="0" borderId="26" xfId="0" applyNumberFormat="1" applyFont="1" applyFill="1" applyBorder="1" applyAlignment="1">
      <alignment/>
    </xf>
    <xf numFmtId="189" fontId="13" fillId="0" borderId="0" xfId="0" applyFont="1" applyFill="1" applyBorder="1" applyAlignment="1">
      <alignment/>
    </xf>
    <xf numFmtId="188" fontId="0" fillId="0" borderId="0" xfId="96" applyNumberFormat="1" applyAlignment="1">
      <alignment horizontal="center"/>
    </xf>
    <xf numFmtId="190" fontId="0" fillId="0" borderId="0" xfId="0" applyNumberFormat="1" applyAlignment="1">
      <alignment/>
    </xf>
    <xf numFmtId="37" fontId="0" fillId="0" borderId="0" xfId="0" applyNumberFormat="1" applyFill="1" applyBorder="1" applyAlignment="1">
      <alignment/>
    </xf>
    <xf numFmtId="175" fontId="6" fillId="0" borderId="28" xfId="0" applyNumberFormat="1" applyFont="1" applyFill="1" applyBorder="1" applyAlignment="1">
      <alignment horizontal="right"/>
    </xf>
    <xf numFmtId="174" fontId="6" fillId="0" borderId="28" xfId="0" applyNumberFormat="1" applyFont="1" applyFill="1" applyBorder="1" applyAlignment="1">
      <alignment horizontal="right"/>
    </xf>
    <xf numFmtId="177" fontId="6" fillId="0" borderId="29" xfId="201" applyNumberFormat="1" applyFont="1" applyFill="1" applyBorder="1" applyAlignment="1">
      <alignment horizontal="right"/>
    </xf>
    <xf numFmtId="191" fontId="6" fillId="0" borderId="0" xfId="96" applyNumberFormat="1" applyFont="1" applyFill="1" applyBorder="1" applyAlignment="1">
      <alignment/>
    </xf>
    <xf numFmtId="179" fontId="6" fillId="0" borderId="29" xfId="96" applyNumberFormat="1" applyFont="1" applyFill="1" applyBorder="1" applyAlignment="1">
      <alignment/>
    </xf>
    <xf numFmtId="176" fontId="6" fillId="0" borderId="29" xfId="0" applyNumberFormat="1" applyFont="1" applyFill="1" applyBorder="1" applyAlignment="1">
      <alignment/>
    </xf>
    <xf numFmtId="37" fontId="6" fillId="0" borderId="28" xfId="0" applyNumberFormat="1" applyFont="1" applyFill="1" applyBorder="1" applyAlignment="1">
      <alignment/>
    </xf>
    <xf numFmtId="37" fontId="6" fillId="0" borderId="0" xfId="0" applyNumberFormat="1" applyFont="1" applyFill="1" applyBorder="1" applyAlignment="1">
      <alignment/>
    </xf>
    <xf numFmtId="173" fontId="6" fillId="0" borderId="28" xfId="201" applyNumberFormat="1" applyFont="1" applyFill="1" applyBorder="1" applyAlignment="1">
      <alignment horizontal="right"/>
    </xf>
    <xf numFmtId="176" fontId="6" fillId="0" borderId="0" xfId="201" applyNumberFormat="1" applyFont="1" applyFill="1" applyBorder="1" applyAlignment="1">
      <alignment horizontal="right"/>
    </xf>
    <xf numFmtId="37" fontId="6" fillId="0" borderId="29" xfId="0" applyNumberFormat="1" applyFont="1" applyFill="1" applyBorder="1" applyAlignment="1">
      <alignment/>
    </xf>
    <xf numFmtId="37" fontId="6" fillId="0" borderId="29" xfId="201" applyNumberFormat="1" applyFont="1" applyFill="1" applyBorder="1" applyAlignment="1">
      <alignment/>
    </xf>
    <xf numFmtId="176" fontId="6" fillId="0" borderId="19" xfId="0" applyNumberFormat="1" applyFont="1" applyBorder="1" applyAlignment="1">
      <alignment/>
    </xf>
    <xf numFmtId="37" fontId="6" fillId="0" borderId="28" xfId="0" applyNumberFormat="1" applyFont="1" applyFill="1" applyBorder="1" applyAlignment="1">
      <alignment/>
    </xf>
    <xf numFmtId="189" fontId="26" fillId="56" borderId="0" xfId="0" applyFont="1" applyFill="1" applyAlignment="1">
      <alignment/>
    </xf>
    <xf numFmtId="189" fontId="0" fillId="56" borderId="0" xfId="0" applyFill="1" applyAlignment="1">
      <alignment/>
    </xf>
    <xf numFmtId="189" fontId="13" fillId="56" borderId="0" xfId="0" applyFont="1" applyFill="1" applyAlignment="1">
      <alignment/>
    </xf>
    <xf numFmtId="37" fontId="0" fillId="56" borderId="0" xfId="0" applyNumberFormat="1" applyFill="1" applyAlignment="1">
      <alignment/>
    </xf>
    <xf numFmtId="37" fontId="0" fillId="56" borderId="31" xfId="0" applyNumberFormat="1" applyFill="1" applyBorder="1" applyAlignment="1">
      <alignment/>
    </xf>
    <xf numFmtId="189" fontId="0" fillId="56" borderId="0" xfId="0" applyFill="1" applyBorder="1" applyAlignment="1">
      <alignment/>
    </xf>
    <xf numFmtId="191" fontId="0" fillId="56" borderId="33" xfId="0" applyNumberFormat="1" applyFill="1" applyBorder="1" applyAlignment="1">
      <alignment/>
    </xf>
    <xf numFmtId="174" fontId="6" fillId="0" borderId="24" xfId="96" applyNumberFormat="1" applyFont="1" applyFill="1" applyBorder="1" applyAlignment="1">
      <alignment/>
    </xf>
    <xf numFmtId="191" fontId="6" fillId="0" borderId="0" xfId="201" applyNumberFormat="1" applyFont="1" applyFill="1" applyBorder="1" applyAlignment="1">
      <alignment horizontal="right"/>
    </xf>
    <xf numFmtId="190" fontId="6" fillId="0" borderId="0" xfId="96" applyNumberFormat="1" applyFont="1" applyFill="1" applyBorder="1" applyAlignment="1">
      <alignment/>
    </xf>
    <xf numFmtId="37" fontId="0" fillId="0" borderId="0" xfId="0" applyNumberFormat="1" applyBorder="1" applyAlignment="1">
      <alignment/>
    </xf>
    <xf numFmtId="174" fontId="11" fillId="0" borderId="0" xfId="96" applyNumberFormat="1" applyFont="1" applyFill="1" applyBorder="1" applyAlignment="1">
      <alignment horizontal="center"/>
    </xf>
    <xf numFmtId="173" fontId="11" fillId="0" borderId="0" xfId="201" applyNumberFormat="1" applyFont="1" applyFill="1" applyBorder="1" applyAlignment="1">
      <alignment horizontal="center"/>
    </xf>
    <xf numFmtId="37" fontId="6" fillId="0" borderId="0" xfId="0" applyNumberFormat="1" applyFont="1" applyFill="1" applyAlignment="1">
      <alignment/>
    </xf>
    <xf numFmtId="176" fontId="6" fillId="0" borderId="0" xfId="0" applyNumberFormat="1" applyFont="1" applyFill="1" applyAlignment="1">
      <alignment/>
    </xf>
    <xf numFmtId="189" fontId="11" fillId="0" borderId="20" xfId="0" applyFont="1" applyFill="1" applyBorder="1" applyAlignment="1">
      <alignment horizontal="center"/>
    </xf>
    <xf numFmtId="189" fontId="15" fillId="0" borderId="0" xfId="0" applyFont="1" applyAlignment="1">
      <alignment horizontal="center"/>
    </xf>
    <xf numFmtId="174" fontId="6" fillId="0" borderId="20" xfId="0" applyNumberFormat="1" applyFont="1" applyFill="1" applyBorder="1" applyAlignment="1">
      <alignment/>
    </xf>
    <xf numFmtId="37" fontId="6" fillId="0" borderId="0" xfId="201" applyNumberFormat="1" applyFont="1" applyFill="1" applyBorder="1" applyAlignment="1">
      <alignment horizontal="right"/>
    </xf>
    <xf numFmtId="37" fontId="6" fillId="0" borderId="0" xfId="0" applyNumberFormat="1" applyFont="1" applyFill="1" applyBorder="1" applyAlignment="1">
      <alignment/>
    </xf>
    <xf numFmtId="37" fontId="6" fillId="0" borderId="0" xfId="0" applyNumberFormat="1" applyFont="1" applyFill="1" applyBorder="1" applyAlignment="1">
      <alignment horizontal="right"/>
    </xf>
    <xf numFmtId="189" fontId="6" fillId="0" borderId="24" xfId="0" applyFont="1" applyBorder="1" applyAlignment="1">
      <alignment/>
    </xf>
    <xf numFmtId="183" fontId="6" fillId="0" borderId="0" xfId="0" applyNumberFormat="1" applyFont="1" applyFill="1" applyBorder="1" applyAlignment="1">
      <alignment/>
    </xf>
    <xf numFmtId="174" fontId="6" fillId="0" borderId="19" xfId="0" applyNumberFormat="1" applyFont="1" applyBorder="1" applyAlignment="1">
      <alignment/>
    </xf>
    <xf numFmtId="174" fontId="6" fillId="0" borderId="23" xfId="96" applyNumberFormat="1" applyFont="1" applyFill="1" applyBorder="1" applyAlignment="1">
      <alignment/>
    </xf>
    <xf numFmtId="174" fontId="6" fillId="0" borderId="34" xfId="96" applyNumberFormat="1" applyFont="1" applyFill="1" applyBorder="1" applyAlignment="1">
      <alignment/>
    </xf>
    <xf numFmtId="37" fontId="6" fillId="0" borderId="31" xfId="201" applyNumberFormat="1" applyFont="1" applyFill="1" applyBorder="1" applyAlignment="1">
      <alignment horizontal="right"/>
    </xf>
    <xf numFmtId="37" fontId="6" fillId="0" borderId="24" xfId="0" applyNumberFormat="1" applyFont="1" applyFill="1" applyBorder="1" applyAlignment="1">
      <alignment/>
    </xf>
    <xf numFmtId="37" fontId="6" fillId="0" borderId="24" xfId="201" applyNumberFormat="1" applyFont="1" applyFill="1" applyBorder="1" applyAlignment="1">
      <alignment horizontal="right"/>
    </xf>
    <xf numFmtId="37" fontId="6" fillId="0" borderId="21" xfId="201" applyNumberFormat="1" applyFont="1" applyFill="1" applyBorder="1" applyAlignment="1">
      <alignment horizontal="right"/>
    </xf>
    <xf numFmtId="189" fontId="0" fillId="0" borderId="21" xfId="0" applyFill="1" applyBorder="1" applyAlignment="1">
      <alignment/>
    </xf>
    <xf numFmtId="37" fontId="6" fillId="0" borderId="57" xfId="96" applyNumberFormat="1" applyFont="1" applyFill="1" applyBorder="1" applyAlignment="1">
      <alignment horizontal="right"/>
    </xf>
    <xf numFmtId="189" fontId="6" fillId="0" borderId="29" xfId="0" applyFont="1" applyFill="1" applyBorder="1" applyAlignment="1">
      <alignment/>
    </xf>
    <xf numFmtId="37" fontId="6" fillId="0" borderId="58" xfId="96" applyNumberFormat="1" applyFont="1" applyFill="1" applyBorder="1" applyAlignment="1">
      <alignment horizontal="right"/>
    </xf>
    <xf numFmtId="189" fontId="6" fillId="0" borderId="24" xfId="0" applyFont="1" applyFill="1" applyBorder="1" applyAlignment="1">
      <alignment/>
    </xf>
    <xf numFmtId="39" fontId="6" fillId="0" borderId="0" xfId="0" applyNumberFormat="1" applyFont="1" applyFill="1" applyBorder="1" applyAlignment="1">
      <alignment/>
    </xf>
    <xf numFmtId="37" fontId="6" fillId="0" borderId="23" xfId="0" applyNumberFormat="1" applyFont="1" applyFill="1" applyBorder="1" applyAlignment="1">
      <alignment/>
    </xf>
    <xf numFmtId="174" fontId="6" fillId="0" borderId="23" xfId="0" applyNumberFormat="1" applyFont="1" applyBorder="1" applyAlignment="1">
      <alignment horizontal="right"/>
    </xf>
    <xf numFmtId="174" fontId="6" fillId="0" borderId="26" xfId="96" applyNumberFormat="1" applyFont="1" applyFill="1" applyBorder="1" applyAlignment="1">
      <alignment horizontal="right"/>
    </xf>
    <xf numFmtId="174" fontId="6" fillId="0" borderId="19" xfId="96" applyNumberFormat="1" applyFont="1" applyFill="1" applyBorder="1" applyAlignment="1">
      <alignment horizontal="right"/>
    </xf>
    <xf numFmtId="39" fontId="6" fillId="0" borderId="28" xfId="0" applyNumberFormat="1" applyFont="1" applyFill="1" applyBorder="1" applyAlignment="1">
      <alignment/>
    </xf>
    <xf numFmtId="187" fontId="6" fillId="0" borderId="0" xfId="96" applyNumberFormat="1" applyFont="1" applyFill="1" applyBorder="1" applyAlignment="1">
      <alignment/>
    </xf>
    <xf numFmtId="189" fontId="6" fillId="0" borderId="27" xfId="96" applyNumberFormat="1" applyFont="1" applyFill="1" applyBorder="1" applyAlignment="1">
      <alignment/>
    </xf>
    <xf numFmtId="2" fontId="6" fillId="0" borderId="27" xfId="96" applyNumberFormat="1" applyFont="1" applyFill="1" applyBorder="1" applyAlignment="1">
      <alignment/>
    </xf>
    <xf numFmtId="189" fontId="0" fillId="0" borderId="24" xfId="0" applyFill="1" applyBorder="1" applyAlignment="1">
      <alignment/>
    </xf>
    <xf numFmtId="173" fontId="6" fillId="0" borderId="28" xfId="0" applyNumberFormat="1" applyFont="1" applyFill="1" applyBorder="1" applyAlignment="1">
      <alignment/>
    </xf>
    <xf numFmtId="174" fontId="6" fillId="0" borderId="33" xfId="0" applyNumberFormat="1" applyFont="1" applyBorder="1" applyAlignment="1">
      <alignment/>
    </xf>
    <xf numFmtId="174" fontId="6" fillId="0" borderId="26" xfId="0" applyNumberFormat="1" applyFont="1" applyBorder="1" applyAlignment="1">
      <alignment/>
    </xf>
    <xf numFmtId="174" fontId="6" fillId="0" borderId="36" xfId="0" applyNumberFormat="1" applyFont="1" applyBorder="1" applyAlignment="1">
      <alignment/>
    </xf>
    <xf numFmtId="37" fontId="6" fillId="0" borderId="21" xfId="0" applyNumberFormat="1" applyFont="1" applyFill="1" applyBorder="1" applyAlignment="1">
      <alignment/>
    </xf>
    <xf numFmtId="189" fontId="6" fillId="0" borderId="27" xfId="0" applyFont="1" applyBorder="1" applyAlignment="1">
      <alignment/>
    </xf>
    <xf numFmtId="189" fontId="11" fillId="0" borderId="27" xfId="0" applyFont="1" applyFill="1" applyBorder="1" applyAlignment="1">
      <alignment horizontal="center"/>
    </xf>
    <xf numFmtId="37" fontId="6" fillId="0" borderId="27" xfId="201" applyNumberFormat="1" applyFont="1" applyFill="1" applyBorder="1" applyAlignment="1">
      <alignment/>
    </xf>
    <xf numFmtId="177" fontId="6" fillId="0" borderId="27" xfId="0" applyNumberFormat="1" applyFont="1" applyFill="1" applyBorder="1" applyAlignment="1">
      <alignment/>
    </xf>
    <xf numFmtId="177" fontId="6" fillId="0" borderId="27" xfId="201" applyNumberFormat="1" applyFont="1" applyFill="1" applyBorder="1" applyAlignment="1">
      <alignment horizontal="right"/>
    </xf>
    <xf numFmtId="192" fontId="0" fillId="0" borderId="41" xfId="0" applyNumberFormat="1" applyBorder="1" applyAlignment="1">
      <alignment/>
    </xf>
    <xf numFmtId="37" fontId="11" fillId="0" borderId="57" xfId="96" applyNumberFormat="1" applyFont="1" applyFill="1" applyBorder="1" applyAlignment="1">
      <alignment horizontal="right"/>
    </xf>
    <xf numFmtId="175" fontId="6" fillId="0" borderId="24" xfId="96" applyNumberFormat="1" applyFont="1" applyFill="1" applyBorder="1" applyAlignment="1">
      <alignment/>
    </xf>
    <xf numFmtId="37" fontId="6" fillId="0" borderId="25" xfId="0" applyNumberFormat="1" applyFont="1" applyBorder="1" applyAlignment="1">
      <alignment/>
    </xf>
    <xf numFmtId="173" fontId="6" fillId="0" borderId="27" xfId="0" applyNumberFormat="1" applyFont="1" applyFill="1" applyBorder="1" applyAlignment="1">
      <alignment horizontal="right"/>
    </xf>
    <xf numFmtId="189" fontId="13" fillId="46" borderId="54" xfId="0" applyFont="1" applyFill="1" applyBorder="1" applyAlignment="1">
      <alignment/>
    </xf>
    <xf numFmtId="189" fontId="0" fillId="46" borderId="52" xfId="0" applyFill="1" applyBorder="1" applyAlignment="1">
      <alignment/>
    </xf>
    <xf numFmtId="189" fontId="0" fillId="46" borderId="53" xfId="0" applyFill="1" applyBorder="1" applyAlignment="1">
      <alignment/>
    </xf>
    <xf numFmtId="189" fontId="31" fillId="46" borderId="40" xfId="0" applyFont="1" applyFill="1" applyBorder="1" applyAlignment="1">
      <alignment/>
    </xf>
    <xf numFmtId="189" fontId="0" fillId="46" borderId="0" xfId="0" applyFill="1" applyBorder="1" applyAlignment="1">
      <alignment/>
    </xf>
    <xf numFmtId="189" fontId="0" fillId="46" borderId="41" xfId="0" applyFill="1" applyBorder="1" applyAlignment="1">
      <alignment/>
    </xf>
    <xf numFmtId="189" fontId="13" fillId="46" borderId="0" xfId="0" applyFont="1" applyFill="1" applyBorder="1" applyAlignment="1">
      <alignment/>
    </xf>
    <xf numFmtId="189" fontId="0" fillId="46" borderId="40" xfId="0" applyFill="1" applyBorder="1" applyAlignment="1">
      <alignment/>
    </xf>
    <xf numFmtId="189" fontId="13" fillId="46" borderId="41" xfId="0" applyFont="1" applyFill="1" applyBorder="1" applyAlignment="1">
      <alignment/>
    </xf>
    <xf numFmtId="188" fontId="0" fillId="46" borderId="0" xfId="96" applyNumberFormat="1" applyFill="1" applyAlignment="1">
      <alignment horizontal="center"/>
    </xf>
    <xf numFmtId="190" fontId="0" fillId="46" borderId="0" xfId="0" applyNumberFormat="1" applyFill="1" applyAlignment="1">
      <alignment/>
    </xf>
    <xf numFmtId="189" fontId="0" fillId="46" borderId="40" xfId="0" applyFont="1" applyFill="1" applyBorder="1" applyAlignment="1">
      <alignment/>
    </xf>
    <xf numFmtId="192" fontId="0" fillId="46" borderId="0" xfId="0" applyNumberFormat="1" applyFill="1" applyBorder="1" applyAlignment="1">
      <alignment/>
    </xf>
    <xf numFmtId="192" fontId="0" fillId="46" borderId="41" xfId="0" applyNumberFormat="1" applyFill="1" applyBorder="1" applyAlignment="1">
      <alignment/>
    </xf>
    <xf numFmtId="4" fontId="0" fillId="46" borderId="31" xfId="0" applyNumberFormat="1" applyFill="1" applyBorder="1" applyAlignment="1">
      <alignment/>
    </xf>
    <xf numFmtId="4" fontId="0" fillId="46" borderId="55" xfId="0" applyNumberFormat="1" applyFill="1" applyBorder="1" applyAlignment="1">
      <alignment/>
    </xf>
    <xf numFmtId="190" fontId="0" fillId="46" borderId="0" xfId="0" applyNumberFormat="1" applyFill="1" applyBorder="1" applyAlignment="1">
      <alignment/>
    </xf>
    <xf numFmtId="190" fontId="0" fillId="46" borderId="41" xfId="0" applyNumberFormat="1" applyFill="1" applyBorder="1" applyAlignment="1">
      <alignment/>
    </xf>
    <xf numFmtId="189" fontId="13" fillId="46" borderId="40" xfId="0" applyFont="1" applyFill="1" applyBorder="1" applyAlignment="1">
      <alignment/>
    </xf>
    <xf numFmtId="3" fontId="13" fillId="46" borderId="37" xfId="0" applyNumberFormat="1" applyFont="1" applyFill="1" applyBorder="1" applyAlignment="1">
      <alignment/>
    </xf>
    <xf numFmtId="3" fontId="13" fillId="46" borderId="56" xfId="0" applyNumberFormat="1" applyFont="1" applyFill="1" applyBorder="1" applyAlignment="1">
      <alignment/>
    </xf>
    <xf numFmtId="3" fontId="13" fillId="46" borderId="0" xfId="0" applyNumberFormat="1" applyFont="1" applyFill="1" applyBorder="1" applyAlignment="1">
      <alignment/>
    </xf>
    <xf numFmtId="3" fontId="13" fillId="46" borderId="41" xfId="0" applyNumberFormat="1" applyFont="1" applyFill="1" applyBorder="1" applyAlignment="1">
      <alignment/>
    </xf>
    <xf numFmtId="189" fontId="0" fillId="46" borderId="47" xfId="0" applyFill="1" applyBorder="1" applyAlignment="1">
      <alignment/>
    </xf>
    <xf numFmtId="3" fontId="13" fillId="46" borderId="50" xfId="0" applyNumberFormat="1" applyFont="1" applyFill="1" applyBorder="1" applyAlignment="1">
      <alignment/>
    </xf>
    <xf numFmtId="189" fontId="13" fillId="46" borderId="50" xfId="0" applyFont="1" applyFill="1" applyBorder="1" applyAlignment="1">
      <alignment/>
    </xf>
    <xf numFmtId="189" fontId="13" fillId="46" borderId="49" xfId="0" applyFont="1" applyFill="1" applyBorder="1" applyAlignment="1">
      <alignment/>
    </xf>
    <xf numFmtId="173" fontId="11" fillId="0" borderId="35" xfId="201" applyNumberFormat="1" applyFont="1" applyFill="1" applyBorder="1" applyAlignment="1">
      <alignment horizontal="right"/>
    </xf>
    <xf numFmtId="189" fontId="11" fillId="0" borderId="21" xfId="0" applyFont="1" applyFill="1" applyBorder="1" applyAlignment="1">
      <alignment horizontal="center"/>
    </xf>
    <xf numFmtId="189" fontId="11" fillId="0" borderId="21" xfId="0" applyFont="1" applyFill="1" applyBorder="1" applyAlignment="1">
      <alignment horizontal="center"/>
    </xf>
    <xf numFmtId="189" fontId="11" fillId="0" borderId="0" xfId="0" applyFont="1" applyAlignment="1">
      <alignment wrapText="1"/>
    </xf>
    <xf numFmtId="174" fontId="6" fillId="0" borderId="20" xfId="96" applyNumberFormat="1" applyFont="1" applyFill="1" applyBorder="1" applyAlignment="1">
      <alignment/>
    </xf>
    <xf numFmtId="173" fontId="6" fillId="0" borderId="22" xfId="201" applyNumberFormat="1" applyFont="1" applyFill="1" applyBorder="1" applyAlignment="1">
      <alignment horizontal="right"/>
    </xf>
    <xf numFmtId="174" fontId="6" fillId="0" borderId="21" xfId="96" applyNumberFormat="1" applyFont="1" applyFill="1" applyBorder="1" applyAlignment="1">
      <alignment/>
    </xf>
    <xf numFmtId="173" fontId="6" fillId="0" borderId="31" xfId="201" applyNumberFormat="1" applyFont="1" applyFill="1" applyBorder="1" applyAlignment="1">
      <alignment horizontal="right"/>
    </xf>
    <xf numFmtId="37" fontId="6" fillId="0" borderId="0" xfId="96" applyNumberFormat="1" applyFont="1" applyFill="1" applyBorder="1" applyAlignment="1">
      <alignment horizontal="center"/>
    </xf>
    <xf numFmtId="37" fontId="6" fillId="0" borderId="29" xfId="96" applyNumberFormat="1" applyFont="1" applyFill="1" applyBorder="1" applyAlignment="1">
      <alignment horizontal="center"/>
    </xf>
    <xf numFmtId="37" fontId="6" fillId="0" borderId="37" xfId="96" applyNumberFormat="1" applyFont="1" applyFill="1" applyBorder="1" applyAlignment="1">
      <alignment horizontal="center"/>
    </xf>
    <xf numFmtId="37" fontId="6" fillId="0" borderId="35" xfId="96" applyNumberFormat="1" applyFont="1" applyFill="1" applyBorder="1" applyAlignment="1">
      <alignment horizontal="center"/>
    </xf>
    <xf numFmtId="189" fontId="6" fillId="0" borderId="0" xfId="0" applyFont="1" applyBorder="1" applyAlignment="1">
      <alignment wrapText="1"/>
    </xf>
    <xf numFmtId="37" fontId="6" fillId="0" borderId="20" xfId="96" applyNumberFormat="1" applyFont="1" applyFill="1" applyBorder="1" applyAlignment="1">
      <alignment horizontal="right"/>
    </xf>
    <xf numFmtId="174" fontId="6" fillId="0" borderId="37" xfId="96" applyNumberFormat="1" applyFont="1" applyFill="1" applyBorder="1" applyAlignment="1">
      <alignment/>
    </xf>
    <xf numFmtId="173" fontId="6" fillId="0" borderId="29" xfId="201" applyNumberFormat="1" applyFont="1" applyFill="1" applyBorder="1" applyAlignment="1">
      <alignment horizontal="center"/>
    </xf>
    <xf numFmtId="173" fontId="6" fillId="0" borderId="35" xfId="201" applyNumberFormat="1" applyFont="1" applyFill="1" applyBorder="1" applyAlignment="1">
      <alignment horizontal="center"/>
    </xf>
    <xf numFmtId="189" fontId="6" fillId="0" borderId="27" xfId="0" applyFont="1" applyBorder="1" applyAlignment="1">
      <alignment horizontal="center"/>
    </xf>
    <xf numFmtId="173" fontId="6" fillId="0" borderId="19" xfId="0" applyNumberFormat="1" applyFont="1" applyFill="1" applyBorder="1" applyAlignment="1">
      <alignment horizontal="right"/>
    </xf>
    <xf numFmtId="173" fontId="6" fillId="0" borderId="29" xfId="0" applyNumberFormat="1" applyFont="1" applyBorder="1" applyAlignment="1">
      <alignment horizontal="right"/>
    </xf>
    <xf numFmtId="173" fontId="6" fillId="0" borderId="29" xfId="0" applyNumberFormat="1" applyFont="1" applyFill="1" applyBorder="1" applyAlignment="1">
      <alignment horizontal="right"/>
    </xf>
    <xf numFmtId="2" fontId="0" fillId="0" borderId="0" xfId="0" applyNumberFormat="1" applyBorder="1" applyAlignment="1">
      <alignment/>
    </xf>
    <xf numFmtId="189" fontId="4" fillId="0" borderId="0" xfId="0" applyFont="1" applyFill="1" applyBorder="1" applyAlignment="1">
      <alignment horizontal="right"/>
    </xf>
    <xf numFmtId="43" fontId="6" fillId="0" borderId="28" xfId="96" applyFont="1" applyBorder="1" applyAlignment="1">
      <alignment horizontal="right"/>
    </xf>
    <xf numFmtId="173" fontId="6" fillId="0" borderId="19" xfId="0" applyNumberFormat="1" applyFont="1" applyBorder="1" applyAlignment="1">
      <alignment horizontal="right"/>
    </xf>
    <xf numFmtId="173" fontId="6" fillId="0" borderId="21" xfId="201" applyNumberFormat="1" applyFont="1" applyFill="1" applyBorder="1" applyAlignment="1">
      <alignment horizontal="right"/>
    </xf>
    <xf numFmtId="173" fontId="6" fillId="0" borderId="37" xfId="201" applyNumberFormat="1" applyFont="1" applyFill="1" applyBorder="1" applyAlignment="1">
      <alignment horizontal="right"/>
    </xf>
    <xf numFmtId="189" fontId="13" fillId="0" borderId="28" xfId="0" applyFont="1" applyBorder="1" applyAlignment="1">
      <alignment horizontal="right"/>
    </xf>
    <xf numFmtId="189" fontId="13" fillId="0" borderId="0" xfId="0" applyFont="1" applyAlignment="1">
      <alignment horizontal="right"/>
    </xf>
    <xf numFmtId="189" fontId="13" fillId="0" borderId="0" xfId="0" applyFont="1" applyBorder="1" applyAlignment="1">
      <alignment horizontal="right"/>
    </xf>
    <xf numFmtId="189" fontId="6" fillId="0" borderId="29" xfId="0" applyFont="1" applyBorder="1" applyAlignment="1">
      <alignment horizontal="right"/>
    </xf>
    <xf numFmtId="37" fontId="6" fillId="0" borderId="27" xfId="96" applyNumberFormat="1" applyFont="1" applyFill="1" applyBorder="1" applyAlignment="1">
      <alignment horizontal="center"/>
    </xf>
    <xf numFmtId="174" fontId="6" fillId="0" borderId="27" xfId="96" applyNumberFormat="1" applyFont="1" applyFill="1" applyBorder="1" applyAlignment="1">
      <alignment horizontal="center"/>
    </xf>
    <xf numFmtId="37" fontId="6" fillId="0" borderId="36" xfId="96" applyNumberFormat="1" applyFont="1" applyFill="1" applyBorder="1" applyAlignment="1">
      <alignment horizontal="center"/>
    </xf>
    <xf numFmtId="174" fontId="6" fillId="0" borderId="36" xfId="96" applyNumberFormat="1" applyFont="1" applyFill="1" applyBorder="1" applyAlignment="1">
      <alignment horizontal="center"/>
    </xf>
    <xf numFmtId="37" fontId="6" fillId="0" borderId="31" xfId="96" applyNumberFormat="1" applyFont="1" applyFill="1" applyBorder="1" applyAlignment="1">
      <alignment horizontal="center"/>
    </xf>
    <xf numFmtId="37" fontId="6" fillId="0" borderId="32" xfId="96" applyNumberFormat="1" applyFont="1" applyFill="1" applyBorder="1" applyAlignment="1">
      <alignment horizontal="center"/>
    </xf>
    <xf numFmtId="37" fontId="6" fillId="0" borderId="33" xfId="96" applyNumberFormat="1" applyFont="1" applyFill="1" applyBorder="1" applyAlignment="1">
      <alignment horizontal="center"/>
    </xf>
    <xf numFmtId="174" fontId="6" fillId="0" borderId="33" xfId="96" applyNumberFormat="1" applyFont="1" applyFill="1" applyBorder="1" applyAlignment="1">
      <alignment horizontal="center"/>
    </xf>
    <xf numFmtId="173" fontId="6" fillId="0" borderId="0" xfId="201" applyNumberFormat="1" applyFont="1" applyFill="1" applyBorder="1" applyAlignment="1">
      <alignment horizontal="center"/>
    </xf>
    <xf numFmtId="183" fontId="6" fillId="0" borderId="28" xfId="0" applyNumberFormat="1" applyFont="1" applyFill="1" applyBorder="1" applyAlignment="1">
      <alignment/>
    </xf>
    <xf numFmtId="2" fontId="6" fillId="0" borderId="27" xfId="0" applyNumberFormat="1" applyFont="1" applyFill="1" applyBorder="1" applyAlignment="1">
      <alignment/>
    </xf>
    <xf numFmtId="2" fontId="6" fillId="0" borderId="27" xfId="201" applyNumberFormat="1" applyFont="1" applyFill="1" applyBorder="1" applyAlignment="1">
      <alignment horizontal="right"/>
    </xf>
    <xf numFmtId="173" fontId="6" fillId="0" borderId="35" xfId="0" applyNumberFormat="1" applyFont="1" applyBorder="1" applyAlignment="1">
      <alignment horizontal="right"/>
    </xf>
    <xf numFmtId="174" fontId="6" fillId="0" borderId="30" xfId="0" applyNumberFormat="1" applyFont="1" applyFill="1" applyBorder="1" applyAlignment="1">
      <alignment/>
    </xf>
    <xf numFmtId="173" fontId="6" fillId="0" borderId="32" xfId="0" applyNumberFormat="1" applyFont="1" applyFill="1" applyBorder="1" applyAlignment="1">
      <alignment/>
    </xf>
    <xf numFmtId="37" fontId="6" fillId="0" borderId="33" xfId="0" applyNumberFormat="1" applyFont="1" applyBorder="1" applyAlignment="1">
      <alignment/>
    </xf>
    <xf numFmtId="37" fontId="6" fillId="0" borderId="32" xfId="0" applyNumberFormat="1" applyFont="1" applyBorder="1" applyAlignment="1">
      <alignment/>
    </xf>
    <xf numFmtId="173" fontId="6" fillId="0" borderId="0" xfId="0" applyNumberFormat="1" applyFont="1" applyFill="1" applyBorder="1" applyAlignment="1">
      <alignment horizontal="right"/>
    </xf>
    <xf numFmtId="187" fontId="6" fillId="0" borderId="31" xfId="96" applyNumberFormat="1" applyFont="1" applyBorder="1" applyAlignment="1">
      <alignment/>
    </xf>
    <xf numFmtId="187" fontId="6" fillId="0" borderId="33" xfId="96" applyNumberFormat="1" applyFont="1" applyBorder="1" applyAlignment="1">
      <alignment/>
    </xf>
    <xf numFmtId="174" fontId="0" fillId="0" borderId="0" xfId="0" applyNumberFormat="1" applyBorder="1" applyAlignment="1">
      <alignment/>
    </xf>
    <xf numFmtId="187" fontId="6" fillId="0" borderId="28" xfId="96" applyNumberFormat="1" applyFont="1" applyFill="1" applyBorder="1" applyAlignment="1">
      <alignment horizontal="right"/>
    </xf>
    <xf numFmtId="187" fontId="0" fillId="0" borderId="0" xfId="96" applyNumberFormat="1" applyFont="1" applyAlignment="1">
      <alignment/>
    </xf>
    <xf numFmtId="173" fontId="6" fillId="0" borderId="29" xfId="201" applyNumberFormat="1" applyFont="1" applyFill="1" applyBorder="1" applyAlignment="1" quotePrefix="1">
      <alignment horizontal="right"/>
    </xf>
    <xf numFmtId="173" fontId="6" fillId="0" borderId="29" xfId="0" applyNumberFormat="1" applyFont="1" applyFill="1" applyBorder="1" applyAlignment="1" quotePrefix="1">
      <alignment horizontal="right"/>
    </xf>
    <xf numFmtId="174" fontId="6" fillId="0" borderId="29" xfId="0" applyNumberFormat="1" applyFont="1" applyBorder="1" applyAlignment="1" quotePrefix="1">
      <alignment horizontal="right"/>
    </xf>
    <xf numFmtId="173" fontId="6" fillId="0" borderId="27" xfId="201" applyNumberFormat="1" applyFont="1" applyFill="1" applyBorder="1" applyAlignment="1">
      <alignment horizontal="right"/>
    </xf>
    <xf numFmtId="173" fontId="6" fillId="0" borderId="27" xfId="201" applyNumberFormat="1" applyFont="1" applyFill="1" applyBorder="1" applyAlignment="1">
      <alignment horizontal="right"/>
    </xf>
    <xf numFmtId="173" fontId="6" fillId="0" borderId="27" xfId="201" applyNumberFormat="1" applyFont="1" applyFill="1" applyBorder="1" applyAlignment="1">
      <alignment/>
    </xf>
    <xf numFmtId="195" fontId="0" fillId="0" borderId="0" xfId="96" applyNumberFormat="1" applyAlignment="1">
      <alignment horizontal="center"/>
    </xf>
    <xf numFmtId="176" fontId="0" fillId="0" borderId="0" xfId="201" applyNumberFormat="1" applyFont="1" applyBorder="1" applyAlignment="1">
      <alignment/>
    </xf>
    <xf numFmtId="43" fontId="6" fillId="0" borderId="28" xfId="96" applyFont="1" applyFill="1" applyBorder="1" applyAlignment="1">
      <alignment horizontal="right"/>
    </xf>
    <xf numFmtId="9" fontId="6" fillId="0" borderId="0" xfId="201" applyFont="1" applyFill="1" applyBorder="1" applyAlignment="1">
      <alignment/>
    </xf>
    <xf numFmtId="173" fontId="6" fillId="0" borderId="29" xfId="201" applyNumberFormat="1" applyFont="1" applyFill="1" applyBorder="1" applyAlignment="1">
      <alignment/>
    </xf>
    <xf numFmtId="173" fontId="6" fillId="0" borderId="32" xfId="201" applyNumberFormat="1" applyFont="1" applyFill="1" applyBorder="1" applyAlignment="1">
      <alignment/>
    </xf>
    <xf numFmtId="173" fontId="6" fillId="0" borderId="35" xfId="201" applyNumberFormat="1" applyFont="1" applyFill="1" applyBorder="1" applyAlignment="1">
      <alignment/>
    </xf>
    <xf numFmtId="173" fontId="6" fillId="0" borderId="0" xfId="0" applyNumberFormat="1" applyFont="1" applyBorder="1" applyAlignment="1">
      <alignment horizontal="right"/>
    </xf>
    <xf numFmtId="187" fontId="0" fillId="0" borderId="0" xfId="0" applyNumberFormat="1" applyAlignment="1">
      <alignment/>
    </xf>
    <xf numFmtId="189" fontId="2" fillId="0" borderId="27" xfId="0" applyFont="1" applyFill="1" applyBorder="1" applyAlignment="1">
      <alignment horizontal="center"/>
    </xf>
    <xf numFmtId="189" fontId="6" fillId="0" borderId="27" xfId="0" applyFont="1" applyFill="1" applyBorder="1" applyAlignment="1">
      <alignment horizontal="center"/>
    </xf>
    <xf numFmtId="189" fontId="6" fillId="0" borderId="27" xfId="0" applyFont="1" applyFill="1" applyBorder="1" applyAlignment="1">
      <alignment horizontal="center"/>
    </xf>
    <xf numFmtId="173" fontId="6" fillId="0" borderId="27" xfId="0" applyNumberFormat="1" applyFont="1" applyFill="1" applyBorder="1" applyAlignment="1">
      <alignment/>
    </xf>
    <xf numFmtId="2" fontId="6" fillId="0" borderId="0" xfId="0" applyNumberFormat="1" applyFont="1" applyFill="1" applyBorder="1" applyAlignment="1">
      <alignment/>
    </xf>
    <xf numFmtId="189" fontId="6" fillId="0" borderId="27" xfId="0" applyFont="1" applyFill="1" applyBorder="1" applyAlignment="1">
      <alignment/>
    </xf>
    <xf numFmtId="187" fontId="6" fillId="0" borderId="21" xfId="96" applyNumberFormat="1" applyFont="1" applyBorder="1" applyAlignment="1">
      <alignment/>
    </xf>
    <xf numFmtId="187" fontId="6" fillId="0" borderId="0" xfId="96" applyNumberFormat="1" applyFont="1" applyBorder="1" applyAlignment="1">
      <alignment/>
    </xf>
    <xf numFmtId="187" fontId="6" fillId="0" borderId="24" xfId="96" applyNumberFormat="1" applyFont="1" applyBorder="1" applyAlignment="1">
      <alignment/>
    </xf>
    <xf numFmtId="37" fontId="6" fillId="0" borderId="22" xfId="0" applyNumberFormat="1" applyFont="1" applyFill="1" applyBorder="1" applyAlignment="1">
      <alignment/>
    </xf>
    <xf numFmtId="187" fontId="6" fillId="0" borderId="21" xfId="96" applyNumberFormat="1" applyFont="1" applyFill="1" applyBorder="1" applyAlignment="1">
      <alignment/>
    </xf>
    <xf numFmtId="173" fontId="6" fillId="0" borderId="21" xfId="201" applyNumberFormat="1" applyFont="1" applyFill="1" applyBorder="1" applyAlignment="1">
      <alignment/>
    </xf>
    <xf numFmtId="173" fontId="6" fillId="0" borderId="0" xfId="201" applyNumberFormat="1" applyFont="1" applyFill="1" applyBorder="1" applyAlignment="1">
      <alignment/>
    </xf>
    <xf numFmtId="37" fontId="11" fillId="0" borderId="27" xfId="96" applyNumberFormat="1" applyFont="1" applyFill="1" applyBorder="1" applyAlignment="1">
      <alignment horizontal="right"/>
    </xf>
    <xf numFmtId="189" fontId="6" fillId="0" borderId="27" xfId="0" applyFont="1" applyFill="1" applyBorder="1" applyAlignment="1">
      <alignment horizontal="right"/>
    </xf>
    <xf numFmtId="187" fontId="6" fillId="0" borderId="29" xfId="96" applyNumberFormat="1" applyFont="1" applyFill="1" applyBorder="1" applyAlignment="1">
      <alignment horizontal="right"/>
    </xf>
    <xf numFmtId="43" fontId="6" fillId="0" borderId="0" xfId="96" applyFont="1" applyFill="1" applyBorder="1" applyAlignment="1">
      <alignment horizontal="right"/>
    </xf>
    <xf numFmtId="43" fontId="6" fillId="0" borderId="0" xfId="96" applyFont="1" applyFill="1" applyBorder="1" applyAlignment="1">
      <alignment/>
    </xf>
    <xf numFmtId="187" fontId="6" fillId="0" borderId="0" xfId="96" applyNumberFormat="1" applyFont="1" applyFill="1" applyBorder="1" applyAlignment="1">
      <alignment horizontal="right"/>
    </xf>
    <xf numFmtId="188" fontId="0" fillId="0" borderId="0" xfId="96" applyNumberFormat="1" applyFont="1" applyAlignment="1">
      <alignment horizontal="center"/>
    </xf>
    <xf numFmtId="187" fontId="6" fillId="0" borderId="31" xfId="0" applyNumberFormat="1" applyFont="1" applyBorder="1" applyAlignment="1">
      <alignment/>
    </xf>
    <xf numFmtId="181" fontId="21" fillId="0" borderId="0" xfId="119" applyNumberFormat="1" applyFont="1" applyFill="1" applyAlignment="1">
      <alignment/>
    </xf>
    <xf numFmtId="189" fontId="0" fillId="0" borderId="0" xfId="0" applyFont="1" applyAlignment="1">
      <alignment/>
    </xf>
    <xf numFmtId="189" fontId="0" fillId="0" borderId="0" xfId="0" applyBorder="1" applyAlignment="1">
      <alignment/>
    </xf>
    <xf numFmtId="189" fontId="0" fillId="0" borderId="24" xfId="0" applyBorder="1" applyAlignment="1">
      <alignment/>
    </xf>
    <xf numFmtId="43" fontId="2" fillId="0" borderId="0" xfId="96" applyFont="1" applyFill="1" applyBorder="1" applyAlignment="1">
      <alignment horizontal="right"/>
    </xf>
    <xf numFmtId="175" fontId="6" fillId="0" borderId="0" xfId="0" applyNumberFormat="1" applyFont="1" applyFill="1" applyBorder="1" applyAlignment="1">
      <alignment/>
    </xf>
    <xf numFmtId="176" fontId="6" fillId="0" borderId="0" xfId="201" applyNumberFormat="1" applyFont="1" applyFill="1" applyBorder="1" applyAlignment="1">
      <alignment/>
    </xf>
    <xf numFmtId="37" fontId="6" fillId="0" borderId="0" xfId="0" applyNumberFormat="1" applyFont="1" applyBorder="1" applyAlignment="1">
      <alignment/>
    </xf>
    <xf numFmtId="175" fontId="6" fillId="0" borderId="0" xfId="0" applyNumberFormat="1" applyFont="1" applyFill="1" applyBorder="1" applyAlignment="1">
      <alignment/>
    </xf>
    <xf numFmtId="189" fontId="6" fillId="0" borderId="0" xfId="0" applyFont="1" applyBorder="1" applyAlignment="1">
      <alignment/>
    </xf>
    <xf numFmtId="173" fontId="6" fillId="0" borderId="0" xfId="0" applyNumberFormat="1" applyFont="1" applyFill="1" applyBorder="1" applyAlignment="1">
      <alignment/>
    </xf>
    <xf numFmtId="37" fontId="6" fillId="0" borderId="28" xfId="0" applyNumberFormat="1" applyFont="1" applyBorder="1" applyAlignment="1">
      <alignment/>
    </xf>
    <xf numFmtId="37" fontId="6" fillId="0" borderId="23" xfId="0" applyNumberFormat="1" applyFont="1" applyBorder="1" applyAlignment="1">
      <alignment/>
    </xf>
    <xf numFmtId="37" fontId="6" fillId="0" borderId="30" xfId="0" applyNumberFormat="1" applyFont="1" applyBorder="1" applyAlignment="1">
      <alignment/>
    </xf>
    <xf numFmtId="187" fontId="6" fillId="0" borderId="20" xfId="96" applyNumberFormat="1" applyFont="1" applyBorder="1" applyAlignment="1">
      <alignment/>
    </xf>
    <xf numFmtId="187" fontId="6" fillId="0" borderId="28" xfId="96" applyNumberFormat="1" applyFont="1" applyBorder="1" applyAlignment="1">
      <alignment/>
    </xf>
    <xf numFmtId="187" fontId="6" fillId="0" borderId="23" xfId="96" applyNumberFormat="1" applyFont="1" applyBorder="1" applyAlignment="1">
      <alignment/>
    </xf>
    <xf numFmtId="187" fontId="6" fillId="0" borderId="30" xfId="96" applyNumberFormat="1" applyFont="1" applyBorder="1" applyAlignment="1">
      <alignment/>
    </xf>
    <xf numFmtId="174" fontId="6" fillId="0" borderId="0" xfId="0" applyNumberFormat="1" applyFont="1" applyBorder="1" applyAlignment="1">
      <alignment/>
    </xf>
    <xf numFmtId="37" fontId="6" fillId="0" borderId="20" xfId="0" applyNumberFormat="1" applyFont="1" applyBorder="1" applyAlignment="1">
      <alignment/>
    </xf>
    <xf numFmtId="174" fontId="6" fillId="0" borderId="0" xfId="96" applyNumberFormat="1" applyFont="1" applyFill="1" applyBorder="1" applyAlignment="1">
      <alignment/>
    </xf>
    <xf numFmtId="37" fontId="6" fillId="0" borderId="0" xfId="0" applyNumberFormat="1" applyFont="1" applyAlignment="1">
      <alignment/>
    </xf>
    <xf numFmtId="189" fontId="6" fillId="0" borderId="28" xfId="0" applyFont="1" applyBorder="1" applyAlignment="1">
      <alignment/>
    </xf>
    <xf numFmtId="189" fontId="6" fillId="0" borderId="29" xfId="0" applyFont="1" applyBorder="1" applyAlignment="1">
      <alignment/>
    </xf>
    <xf numFmtId="182" fontId="6" fillId="0" borderId="0" xfId="201" applyNumberFormat="1" applyFont="1" applyFill="1" applyAlignment="1">
      <alignment/>
    </xf>
    <xf numFmtId="174" fontId="6" fillId="0" borderId="21" xfId="0" applyNumberFormat="1" applyFont="1" applyFill="1" applyBorder="1" applyAlignment="1">
      <alignment/>
    </xf>
    <xf numFmtId="173" fontId="6" fillId="0" borderId="22" xfId="0" applyNumberFormat="1" applyFont="1" applyFill="1" applyBorder="1" applyAlignment="1">
      <alignment/>
    </xf>
    <xf numFmtId="174" fontId="6" fillId="0" borderId="0" xfId="0" applyNumberFormat="1" applyFont="1" applyFill="1" applyBorder="1" applyAlignment="1">
      <alignment/>
    </xf>
    <xf numFmtId="173" fontId="6" fillId="0" borderId="29" xfId="0" applyNumberFormat="1" applyFont="1" applyFill="1" applyBorder="1" applyAlignment="1">
      <alignment/>
    </xf>
    <xf numFmtId="174" fontId="6" fillId="0" borderId="24" xfId="0" applyNumberFormat="1" applyFont="1" applyFill="1" applyBorder="1" applyAlignment="1">
      <alignment/>
    </xf>
    <xf numFmtId="173" fontId="6" fillId="0" borderId="19" xfId="0" applyNumberFormat="1" applyFont="1" applyFill="1" applyBorder="1" applyAlignment="1">
      <alignment/>
    </xf>
    <xf numFmtId="187" fontId="6" fillId="0" borderId="0" xfId="96" applyNumberFormat="1" applyFont="1" applyBorder="1" applyAlignment="1">
      <alignment/>
    </xf>
    <xf numFmtId="187" fontId="6" fillId="0" borderId="24" xfId="96" applyNumberFormat="1" applyFont="1" applyBorder="1" applyAlignment="1">
      <alignment/>
    </xf>
    <xf numFmtId="187" fontId="6" fillId="0" borderId="31" xfId="96" applyNumberFormat="1" applyFont="1" applyBorder="1" applyAlignment="1">
      <alignment/>
    </xf>
    <xf numFmtId="189" fontId="6" fillId="0" borderId="22" xfId="0" applyFont="1" applyBorder="1" applyAlignment="1">
      <alignment/>
    </xf>
    <xf numFmtId="174" fontId="6" fillId="0" borderId="28" xfId="96" applyNumberFormat="1" applyFont="1" applyFill="1" applyBorder="1" applyAlignment="1">
      <alignment/>
    </xf>
    <xf numFmtId="174" fontId="6" fillId="0" borderId="0" xfId="0" applyNumberFormat="1" applyFont="1" applyAlignment="1">
      <alignment/>
    </xf>
    <xf numFmtId="187" fontId="6" fillId="0" borderId="0" xfId="96" applyNumberFormat="1" applyFont="1" applyFill="1" applyBorder="1" applyAlignment="1">
      <alignment/>
    </xf>
    <xf numFmtId="187" fontId="6" fillId="0" borderId="27" xfId="96" applyNumberFormat="1" applyFont="1" applyBorder="1" applyAlignment="1">
      <alignment/>
    </xf>
    <xf numFmtId="176" fontId="6" fillId="0" borderId="0" xfId="201" applyNumberFormat="1" applyFont="1" applyBorder="1" applyAlignment="1">
      <alignment/>
    </xf>
    <xf numFmtId="189" fontId="0" fillId="0" borderId="40" xfId="0" applyFont="1" applyBorder="1" applyAlignment="1">
      <alignment/>
    </xf>
    <xf numFmtId="176" fontId="0" fillId="0" borderId="0" xfId="201" applyNumberFormat="1" applyFont="1" applyAlignment="1">
      <alignment/>
    </xf>
    <xf numFmtId="37" fontId="6" fillId="0" borderId="28" xfId="201" applyNumberFormat="1" applyFont="1" applyFill="1" applyBorder="1" applyAlignment="1">
      <alignment horizontal="right"/>
    </xf>
    <xf numFmtId="177" fontId="6" fillId="0" borderId="27" xfId="0" applyNumberFormat="1" applyFont="1" applyFill="1" applyBorder="1" applyAlignment="1">
      <alignment/>
    </xf>
    <xf numFmtId="175" fontId="6" fillId="0" borderId="27" xfId="0" applyNumberFormat="1" applyFont="1" applyFill="1" applyBorder="1" applyAlignment="1">
      <alignment/>
    </xf>
    <xf numFmtId="189" fontId="11" fillId="0" borderId="20" xfId="0" applyFont="1" applyFill="1" applyBorder="1" applyAlignment="1">
      <alignment horizontal="center"/>
    </xf>
    <xf numFmtId="189" fontId="0" fillId="57" borderId="0" xfId="0" applyFill="1" applyAlignment="1">
      <alignment/>
    </xf>
    <xf numFmtId="173" fontId="6" fillId="0" borderId="27" xfId="0" applyNumberFormat="1" applyFont="1" applyFill="1" applyBorder="1" applyAlignment="1">
      <alignment horizontal="right"/>
    </xf>
    <xf numFmtId="43" fontId="6" fillId="0" borderId="29" xfId="96" applyFont="1" applyFill="1" applyBorder="1" applyAlignment="1">
      <alignment/>
    </xf>
    <xf numFmtId="189" fontId="0" fillId="0" borderId="0" xfId="0" applyFont="1" applyFill="1" applyAlignment="1" applyProtection="1">
      <alignment horizontal="left" wrapText="1"/>
      <protection locked="0"/>
    </xf>
    <xf numFmtId="189" fontId="0" fillId="0" borderId="0" xfId="0" applyFont="1" applyFill="1" applyAlignment="1" applyProtection="1">
      <alignment horizontal="left" wrapText="1"/>
      <protection locked="0"/>
    </xf>
    <xf numFmtId="189" fontId="0" fillId="0" borderId="0" xfId="0" applyFill="1" applyAlignment="1" applyProtection="1">
      <alignment horizontal="left" wrapText="1"/>
      <protection locked="0"/>
    </xf>
    <xf numFmtId="189" fontId="20" fillId="0" borderId="0" xfId="0" applyFont="1" applyAlignment="1">
      <alignment/>
    </xf>
    <xf numFmtId="189" fontId="19" fillId="0" borderId="0" xfId="0" applyFont="1" applyAlignment="1">
      <alignment/>
    </xf>
    <xf numFmtId="189" fontId="0" fillId="0" borderId="0" xfId="0" applyFont="1" applyAlignment="1">
      <alignment/>
    </xf>
    <xf numFmtId="189" fontId="0" fillId="0" borderId="0" xfId="0" applyFont="1" applyFill="1" applyAlignment="1">
      <alignment horizontal="left" vertical="center"/>
    </xf>
    <xf numFmtId="189" fontId="19" fillId="0" borderId="0" xfId="0" applyFont="1" applyFill="1" applyAlignment="1">
      <alignment/>
    </xf>
    <xf numFmtId="2" fontId="6" fillId="0" borderId="29" xfId="0" applyNumberFormat="1" applyFont="1" applyFill="1" applyBorder="1" applyAlignment="1">
      <alignment/>
    </xf>
    <xf numFmtId="189" fontId="6" fillId="0" borderId="0" xfId="0" applyFont="1" applyFill="1" applyBorder="1" applyAlignment="1">
      <alignment horizontal="center"/>
    </xf>
    <xf numFmtId="187" fontId="6" fillId="0" borderId="0" xfId="96" applyNumberFormat="1" applyFont="1" applyBorder="1" applyAlignment="1">
      <alignment horizontal="right"/>
    </xf>
    <xf numFmtId="173" fontId="6" fillId="0" borderId="0" xfId="201" applyNumberFormat="1" applyFont="1" applyFill="1" applyBorder="1" applyAlignment="1">
      <alignment horizontal="center"/>
    </xf>
    <xf numFmtId="176" fontId="6" fillId="0" borderId="0" xfId="0" applyNumberFormat="1" applyFont="1" applyFill="1" applyBorder="1" applyAlignment="1">
      <alignment horizontal="center"/>
    </xf>
    <xf numFmtId="176" fontId="6" fillId="0" borderId="27" xfId="0" applyNumberFormat="1" applyFont="1" applyFill="1" applyBorder="1" applyAlignment="1">
      <alignment horizontal="center"/>
    </xf>
    <xf numFmtId="176" fontId="6" fillId="0" borderId="29" xfId="0" applyNumberFormat="1" applyFont="1" applyFill="1" applyBorder="1" applyAlignment="1">
      <alignment horizontal="center"/>
    </xf>
    <xf numFmtId="176" fontId="6" fillId="0" borderId="29" xfId="201" applyNumberFormat="1" applyFont="1" applyFill="1" applyBorder="1" applyAlignment="1">
      <alignment horizontal="center"/>
    </xf>
    <xf numFmtId="189" fontId="20" fillId="0" borderId="0" xfId="0" applyFont="1" applyFill="1" applyBorder="1" applyAlignment="1">
      <alignment/>
    </xf>
    <xf numFmtId="187" fontId="0" fillId="56" borderId="0" xfId="96" applyNumberFormat="1" applyFont="1" applyFill="1" applyAlignment="1">
      <alignment/>
    </xf>
    <xf numFmtId="189" fontId="113" fillId="0" borderId="0" xfId="0" applyFont="1" applyAlignment="1">
      <alignment/>
    </xf>
    <xf numFmtId="189" fontId="2" fillId="0" borderId="29" xfId="0" applyFont="1" applyFill="1" applyBorder="1" applyAlignment="1">
      <alignment horizontal="center"/>
    </xf>
    <xf numFmtId="189" fontId="2" fillId="0" borderId="28" xfId="0" applyFont="1" applyFill="1" applyBorder="1" applyAlignment="1">
      <alignment horizontal="center"/>
    </xf>
    <xf numFmtId="189" fontId="2" fillId="0" borderId="28" xfId="0" applyFont="1" applyFill="1" applyBorder="1" applyAlignment="1">
      <alignment horizontal="center"/>
    </xf>
    <xf numFmtId="189" fontId="2" fillId="0" borderId="22" xfId="0" applyFont="1" applyFill="1" applyBorder="1" applyAlignment="1">
      <alignment horizontal="center"/>
    </xf>
    <xf numFmtId="189" fontId="5" fillId="0" borderId="30" xfId="0" applyFont="1" applyFill="1" applyBorder="1" applyAlignment="1">
      <alignment horizontal="center"/>
    </xf>
    <xf numFmtId="189" fontId="5" fillId="0" borderId="31" xfId="0" applyFont="1" applyFill="1" applyBorder="1" applyAlignment="1">
      <alignment horizontal="center"/>
    </xf>
    <xf numFmtId="189" fontId="5" fillId="0" borderId="32" xfId="0" applyFont="1" applyFill="1" applyBorder="1" applyAlignment="1">
      <alignment horizontal="center"/>
    </xf>
    <xf numFmtId="189" fontId="5" fillId="0" borderId="33" xfId="0" applyFont="1" applyFill="1" applyBorder="1" applyAlignment="1">
      <alignment horizontal="center"/>
    </xf>
    <xf numFmtId="189" fontId="11" fillId="0" borderId="27" xfId="0" applyFont="1" applyBorder="1" applyAlignment="1">
      <alignment horizontal="center"/>
    </xf>
    <xf numFmtId="187" fontId="6" fillId="0" borderId="0" xfId="0" applyNumberFormat="1" applyFont="1" applyBorder="1" applyAlignment="1">
      <alignment/>
    </xf>
    <xf numFmtId="37" fontId="6" fillId="0" borderId="22" xfId="0" applyNumberFormat="1" applyFont="1" applyBorder="1" applyAlignment="1">
      <alignment/>
    </xf>
    <xf numFmtId="187" fontId="6" fillId="0" borderId="25" xfId="96" applyNumberFormat="1" applyFont="1" applyBorder="1" applyAlignment="1">
      <alignment/>
    </xf>
    <xf numFmtId="37" fontId="6" fillId="0" borderId="23" xfId="0" applyNumberFormat="1" applyFont="1" applyBorder="1" applyAlignment="1">
      <alignment horizontal="center"/>
    </xf>
    <xf numFmtId="37" fontId="6" fillId="0" borderId="19" xfId="0" applyNumberFormat="1" applyFont="1" applyBorder="1" applyAlignment="1">
      <alignment horizontal="center"/>
    </xf>
    <xf numFmtId="37" fontId="6" fillId="0" borderId="0" xfId="0" applyNumberFormat="1" applyFont="1" applyBorder="1" applyAlignment="1">
      <alignment horizontal="center"/>
    </xf>
    <xf numFmtId="189" fontId="0" fillId="0" borderId="0" xfId="0" applyFill="1" applyBorder="1" applyAlignment="1">
      <alignment horizontal="center"/>
    </xf>
    <xf numFmtId="187" fontId="6" fillId="0" borderId="26" xfId="96" applyNumberFormat="1" applyFont="1" applyBorder="1" applyAlignment="1">
      <alignment horizontal="center"/>
    </xf>
    <xf numFmtId="37" fontId="6" fillId="0" borderId="26" xfId="0" applyNumberFormat="1" applyFont="1" applyBorder="1" applyAlignment="1">
      <alignment horizontal="center"/>
    </xf>
    <xf numFmtId="189" fontId="0" fillId="0" borderId="0" xfId="0" applyFill="1" applyAlignment="1">
      <alignment horizontal="right"/>
    </xf>
    <xf numFmtId="189" fontId="11" fillId="0" borderId="21" xfId="0" applyFont="1" applyFill="1" applyBorder="1" applyAlignment="1">
      <alignment horizontal="centerContinuous"/>
    </xf>
    <xf numFmtId="189" fontId="11" fillId="0" borderId="22" xfId="0" applyFont="1" applyFill="1" applyBorder="1" applyAlignment="1">
      <alignment horizontal="centerContinuous"/>
    </xf>
    <xf numFmtId="189" fontId="0" fillId="0" borderId="31" xfId="0" applyBorder="1" applyAlignment="1">
      <alignment/>
    </xf>
    <xf numFmtId="189" fontId="0" fillId="0" borderId="32" xfId="0" applyBorder="1" applyAlignment="1">
      <alignment/>
    </xf>
    <xf numFmtId="2" fontId="6" fillId="0" borderId="0" xfId="0" applyNumberFormat="1" applyFont="1" applyBorder="1" applyAlignment="1">
      <alignment/>
    </xf>
    <xf numFmtId="187" fontId="6" fillId="0" borderId="23" xfId="96" applyNumberFormat="1" applyFont="1" applyBorder="1" applyAlignment="1">
      <alignment/>
    </xf>
    <xf numFmtId="187" fontId="6" fillId="0" borderId="23" xfId="96" applyNumberFormat="1" applyFont="1" applyBorder="1" applyAlignment="1">
      <alignment horizontal="right"/>
    </xf>
    <xf numFmtId="187" fontId="6" fillId="0" borderId="37" xfId="96" applyNumberFormat="1" applyFont="1" applyFill="1" applyBorder="1" applyAlignment="1">
      <alignment horizontal="right"/>
    </xf>
    <xf numFmtId="187" fontId="6" fillId="0" borderId="24" xfId="96" applyNumberFormat="1" applyFont="1" applyBorder="1" applyAlignment="1">
      <alignment horizontal="right"/>
    </xf>
    <xf numFmtId="174" fontId="6" fillId="0" borderId="22" xfId="0" applyNumberFormat="1" applyFont="1" applyBorder="1" applyAlignment="1">
      <alignment/>
    </xf>
    <xf numFmtId="187" fontId="6" fillId="0" borderId="21" xfId="0" applyNumberFormat="1" applyFont="1" applyBorder="1" applyAlignment="1">
      <alignment/>
    </xf>
    <xf numFmtId="187" fontId="6" fillId="0" borderId="24" xfId="0" applyNumberFormat="1" applyFont="1" applyBorder="1" applyAlignment="1">
      <alignment horizontal="center"/>
    </xf>
    <xf numFmtId="189" fontId="6" fillId="0" borderId="21" xfId="0" applyFont="1" applyBorder="1" applyAlignment="1">
      <alignment/>
    </xf>
    <xf numFmtId="37" fontId="6" fillId="0" borderId="0" xfId="0" applyNumberFormat="1" applyFont="1" applyAlignment="1">
      <alignment horizontal="right"/>
    </xf>
    <xf numFmtId="189" fontId="11" fillId="0" borderId="20" xfId="0" applyFont="1" applyFill="1" applyBorder="1" applyAlignment="1">
      <alignment horizontal="centerContinuous"/>
    </xf>
    <xf numFmtId="187" fontId="0" fillId="0" borderId="0" xfId="96" applyNumberFormat="1" applyFont="1" applyBorder="1" applyAlignment="1">
      <alignment/>
    </xf>
    <xf numFmtId="187" fontId="0" fillId="0" borderId="24" xfId="96" applyNumberFormat="1" applyFont="1" applyBorder="1" applyAlignment="1">
      <alignment/>
    </xf>
    <xf numFmtId="43" fontId="0" fillId="0" borderId="0" xfId="96" applyFont="1" applyBorder="1" applyAlignment="1">
      <alignment/>
    </xf>
    <xf numFmtId="187" fontId="0" fillId="0" borderId="0" xfId="96" applyNumberFormat="1" applyFont="1" applyBorder="1" applyAlignment="1">
      <alignment/>
    </xf>
    <xf numFmtId="189" fontId="2" fillId="0" borderId="27" xfId="0" applyFont="1" applyFill="1" applyBorder="1" applyAlignment="1">
      <alignment horizontal="center"/>
    </xf>
    <xf numFmtId="189" fontId="2" fillId="0" borderId="0" xfId="0" applyFont="1" applyFill="1" applyBorder="1" applyAlignment="1">
      <alignment horizontal="center"/>
    </xf>
    <xf numFmtId="189" fontId="2" fillId="0" borderId="22" xfId="0" applyFont="1" applyFill="1" applyBorder="1" applyAlignment="1">
      <alignment horizontal="center"/>
    </xf>
    <xf numFmtId="189" fontId="6" fillId="0" borderId="20" xfId="0" applyFont="1" applyBorder="1" applyAlignment="1">
      <alignment/>
    </xf>
    <xf numFmtId="174" fontId="6" fillId="0" borderId="34" xfId="96" applyNumberFormat="1" applyFont="1" applyFill="1" applyBorder="1" applyAlignment="1">
      <alignment horizontal="right"/>
    </xf>
    <xf numFmtId="174" fontId="6" fillId="0" borderId="20" xfId="96" applyNumberFormat="1" applyFont="1" applyFill="1" applyBorder="1" applyAlignment="1">
      <alignment horizontal="right"/>
    </xf>
    <xf numFmtId="174" fontId="6" fillId="0" borderId="21" xfId="96" applyNumberFormat="1" applyFont="1" applyFill="1" applyBorder="1" applyAlignment="1">
      <alignment horizontal="right"/>
    </xf>
    <xf numFmtId="187" fontId="6" fillId="0" borderId="30" xfId="96" applyNumberFormat="1" applyFont="1" applyBorder="1" applyAlignment="1">
      <alignment/>
    </xf>
    <xf numFmtId="187" fontId="6" fillId="0" borderId="28" xfId="96" applyNumberFormat="1" applyFont="1" applyBorder="1" applyAlignment="1">
      <alignment horizontal="right"/>
    </xf>
    <xf numFmtId="187" fontId="6" fillId="0" borderId="0" xfId="96" applyNumberFormat="1" applyFont="1" applyAlignment="1">
      <alignment horizontal="right"/>
    </xf>
    <xf numFmtId="174" fontId="6" fillId="0" borderId="22" xfId="96" applyNumberFormat="1" applyFont="1" applyFill="1" applyBorder="1" applyAlignment="1">
      <alignment horizontal="right"/>
    </xf>
    <xf numFmtId="187" fontId="6" fillId="0" borderId="0" xfId="96" applyNumberFormat="1" applyFont="1" applyAlignment="1">
      <alignment/>
    </xf>
    <xf numFmtId="173" fontId="6" fillId="0" borderId="32" xfId="0" applyNumberFormat="1" applyFont="1" applyBorder="1" applyAlignment="1">
      <alignment horizontal="right"/>
    </xf>
    <xf numFmtId="187" fontId="6" fillId="0" borderId="0" xfId="96" applyNumberFormat="1" applyFont="1" applyFill="1" applyBorder="1" applyAlignment="1">
      <alignment horizontal="center"/>
    </xf>
    <xf numFmtId="43" fontId="6" fillId="0" borderId="27" xfId="96" applyFont="1" applyFill="1" applyBorder="1" applyAlignment="1">
      <alignment/>
    </xf>
    <xf numFmtId="174" fontId="6" fillId="0" borderId="27" xfId="96" applyNumberFormat="1" applyFont="1" applyFill="1" applyBorder="1" applyAlignment="1">
      <alignment horizontal="center"/>
    </xf>
    <xf numFmtId="174" fontId="6" fillId="0" borderId="0" xfId="96" applyNumberFormat="1" applyFont="1" applyFill="1" applyBorder="1" applyAlignment="1">
      <alignment horizontal="center"/>
    </xf>
    <xf numFmtId="174" fontId="6" fillId="0" borderId="29" xfId="96" applyNumberFormat="1" applyFont="1" applyFill="1" applyBorder="1" applyAlignment="1">
      <alignment horizontal="center"/>
    </xf>
    <xf numFmtId="173" fontId="6" fillId="0" borderId="32" xfId="0" applyNumberFormat="1" applyFont="1" applyFill="1" applyBorder="1" applyAlignment="1">
      <alignment horizontal="right"/>
    </xf>
    <xf numFmtId="173" fontId="20" fillId="0" borderId="0" xfId="0" applyNumberFormat="1" applyFont="1" applyAlignment="1">
      <alignment/>
    </xf>
    <xf numFmtId="173" fontId="20" fillId="0" borderId="0" xfId="0" applyNumberFormat="1" applyFont="1" applyFill="1" applyAlignment="1">
      <alignment/>
    </xf>
    <xf numFmtId="193" fontId="20" fillId="0" borderId="0" xfId="119" applyNumberFormat="1" applyFont="1" applyFill="1" applyBorder="1" applyAlignment="1">
      <alignment horizontal="center" vertical="top"/>
    </xf>
    <xf numFmtId="174" fontId="6" fillId="0" borderId="26" xfId="0" applyNumberFormat="1" applyFont="1" applyBorder="1" applyAlignment="1">
      <alignment horizontal="right"/>
    </xf>
    <xf numFmtId="189" fontId="13" fillId="0" borderId="0" xfId="0" applyNumberFormat="1" applyFont="1" applyFill="1" applyAlignment="1">
      <alignment horizontal="center"/>
    </xf>
    <xf numFmtId="189" fontId="11" fillId="0" borderId="22" xfId="0" applyFont="1" applyFill="1" applyBorder="1" applyAlignment="1">
      <alignment horizontal="center"/>
    </xf>
    <xf numFmtId="189" fontId="0" fillId="0" borderId="27" xfId="0" applyBorder="1" applyAlignment="1">
      <alignment horizontal="center"/>
    </xf>
    <xf numFmtId="189" fontId="11" fillId="0" borderId="20" xfId="0" applyFont="1" applyBorder="1" applyAlignment="1">
      <alignment horizontal="center"/>
    </xf>
    <xf numFmtId="172" fontId="6" fillId="0" borderId="20" xfId="0" applyNumberFormat="1" applyFont="1" applyFill="1" applyBorder="1" applyAlignment="1">
      <alignment/>
    </xf>
    <xf numFmtId="181" fontId="6" fillId="0" borderId="20" xfId="96" applyNumberFormat="1" applyFont="1" applyFill="1" applyBorder="1" applyAlignment="1">
      <alignment/>
    </xf>
    <xf numFmtId="181" fontId="6" fillId="0" borderId="28" xfId="96" applyNumberFormat="1" applyFont="1" applyFill="1" applyBorder="1" applyAlignment="1">
      <alignment/>
    </xf>
    <xf numFmtId="189" fontId="0" fillId="0" borderId="28" xfId="0" applyFill="1" applyBorder="1" applyAlignment="1">
      <alignment/>
    </xf>
    <xf numFmtId="189" fontId="13" fillId="0" borderId="28" xfId="0" applyFont="1" applyBorder="1" applyAlignment="1">
      <alignment/>
    </xf>
    <xf numFmtId="187" fontId="6" fillId="0" borderId="29" xfId="96" applyNumberFormat="1" applyFont="1" applyFill="1" applyBorder="1" applyAlignment="1">
      <alignment/>
    </xf>
    <xf numFmtId="187" fontId="6" fillId="0" borderId="27" xfId="96" applyNumberFormat="1" applyFont="1" applyFill="1" applyBorder="1" applyAlignment="1">
      <alignment/>
    </xf>
    <xf numFmtId="43" fontId="6" fillId="0" borderId="29" xfId="96" applyFont="1" applyFill="1" applyBorder="1" applyAlignment="1">
      <alignment horizontal="right"/>
    </xf>
    <xf numFmtId="43" fontId="6" fillId="0" borderId="27" xfId="96" applyFont="1" applyFill="1" applyBorder="1" applyAlignment="1">
      <alignment horizontal="right"/>
    </xf>
    <xf numFmtId="43" fontId="6" fillId="0" borderId="26" xfId="96" applyFont="1" applyFill="1" applyBorder="1" applyAlignment="1">
      <alignment horizontal="right"/>
    </xf>
    <xf numFmtId="192" fontId="0" fillId="0" borderId="0" xfId="0" applyNumberFormat="1" applyFill="1" applyBorder="1" applyAlignment="1">
      <alignment/>
    </xf>
    <xf numFmtId="198" fontId="0" fillId="0" borderId="0" xfId="96" applyNumberFormat="1" applyFont="1" applyAlignment="1">
      <alignment horizontal="center"/>
    </xf>
    <xf numFmtId="189" fontId="0" fillId="0" borderId="0" xfId="176" applyAlignment="1">
      <alignment horizontal="center"/>
      <protection/>
    </xf>
    <xf numFmtId="188" fontId="0" fillId="0" borderId="0" xfId="112" applyNumberFormat="1" applyAlignment="1">
      <alignment horizontal="center"/>
    </xf>
    <xf numFmtId="189" fontId="0" fillId="0" borderId="0" xfId="179" applyAlignment="1">
      <alignment horizontal="center"/>
      <protection/>
    </xf>
    <xf numFmtId="4" fontId="0" fillId="0" borderId="0" xfId="0" applyNumberFormat="1" applyBorder="1" applyAlignment="1">
      <alignment/>
    </xf>
    <xf numFmtId="4" fontId="0" fillId="0" borderId="41" xfId="0" applyNumberFormat="1" applyBorder="1" applyAlignment="1">
      <alignment/>
    </xf>
    <xf numFmtId="189" fontId="114" fillId="0" borderId="0" xfId="0" applyFont="1" applyAlignment="1">
      <alignment/>
    </xf>
    <xf numFmtId="187" fontId="6" fillId="0" borderId="0" xfId="96" applyNumberFormat="1" applyFont="1" applyFill="1" applyBorder="1" applyAlignment="1">
      <alignment horizontal="center"/>
    </xf>
    <xf numFmtId="187" fontId="6" fillId="0" borderId="27" xfId="96" applyNumberFormat="1" applyFont="1" applyFill="1" applyBorder="1" applyAlignment="1">
      <alignment horizontal="center"/>
    </xf>
    <xf numFmtId="43" fontId="6" fillId="0" borderId="0" xfId="96" applyNumberFormat="1" applyFont="1" applyFill="1" applyBorder="1" applyAlignment="1">
      <alignment/>
    </xf>
    <xf numFmtId="176" fontId="4" fillId="0" borderId="0" xfId="201" applyNumberFormat="1" applyFont="1" applyFill="1" applyBorder="1" applyAlignment="1">
      <alignment horizontal="left"/>
    </xf>
    <xf numFmtId="172" fontId="6" fillId="0" borderId="0" xfId="0" applyNumberFormat="1" applyFont="1" applyFill="1" applyAlignment="1">
      <alignment/>
    </xf>
    <xf numFmtId="189" fontId="6" fillId="0" borderId="0" xfId="166" applyFont="1" applyFill="1">
      <alignment/>
      <protection/>
    </xf>
    <xf numFmtId="189" fontId="8" fillId="0" borderId="0" xfId="166" applyFont="1" applyFill="1">
      <alignment/>
      <protection/>
    </xf>
    <xf numFmtId="187" fontId="6" fillId="0" borderId="27" xfId="96" applyNumberFormat="1" applyFont="1" applyFill="1" applyBorder="1" applyAlignment="1">
      <alignment horizontal="right"/>
    </xf>
    <xf numFmtId="189" fontId="0" fillId="0" borderId="0" xfId="166">
      <alignment/>
      <protection/>
    </xf>
    <xf numFmtId="189" fontId="20" fillId="0" borderId="0" xfId="166" applyFont="1">
      <alignment/>
      <protection/>
    </xf>
    <xf numFmtId="189" fontId="20" fillId="0" borderId="0" xfId="166" applyFont="1" applyFill="1">
      <alignment/>
      <protection/>
    </xf>
    <xf numFmtId="189" fontId="21" fillId="0" borderId="0" xfId="166" applyFont="1" applyFill="1">
      <alignment/>
      <protection/>
    </xf>
    <xf numFmtId="189" fontId="20" fillId="0" borderId="0" xfId="166" applyFont="1" applyFill="1" applyAlignment="1">
      <alignment/>
      <protection/>
    </xf>
    <xf numFmtId="189" fontId="31" fillId="0" borderId="0" xfId="0" applyFont="1" applyFill="1" applyBorder="1" applyAlignment="1">
      <alignment horizontal="left"/>
    </xf>
    <xf numFmtId="43" fontId="6" fillId="0" borderId="0" xfId="96" applyFont="1" applyFill="1" applyBorder="1" applyAlignment="1">
      <alignment/>
    </xf>
    <xf numFmtId="10" fontId="6" fillId="0" borderId="0" xfId="201" applyNumberFormat="1" applyFont="1" applyAlignment="1">
      <alignment/>
    </xf>
    <xf numFmtId="187" fontId="4" fillId="0" borderId="0" xfId="96" applyNumberFormat="1" applyFont="1" applyFill="1" applyBorder="1" applyAlignment="1">
      <alignment horizontal="left"/>
    </xf>
    <xf numFmtId="187" fontId="0" fillId="0" borderId="0" xfId="96" applyNumberFormat="1" applyFont="1" applyFill="1" applyBorder="1" applyAlignment="1">
      <alignment horizontal="left"/>
    </xf>
    <xf numFmtId="172" fontId="0" fillId="0" borderId="0" xfId="0" applyNumberFormat="1" applyFill="1" applyAlignment="1">
      <alignment/>
    </xf>
    <xf numFmtId="189" fontId="0" fillId="0" borderId="0" xfId="166" applyFill="1">
      <alignment/>
      <protection/>
    </xf>
    <xf numFmtId="2" fontId="6" fillId="0" borderId="27" xfId="0" applyNumberFormat="1" applyFont="1" applyFill="1" applyBorder="1" applyAlignment="1">
      <alignment/>
    </xf>
    <xf numFmtId="189" fontId="0" fillId="56" borderId="0" xfId="0" applyFont="1" applyFill="1" applyAlignment="1">
      <alignment/>
    </xf>
    <xf numFmtId="37" fontId="6" fillId="0" borderId="30" xfId="201" applyNumberFormat="1" applyFont="1" applyFill="1" applyBorder="1" applyAlignment="1">
      <alignment horizontal="right"/>
    </xf>
    <xf numFmtId="173" fontId="6" fillId="0" borderId="58" xfId="201" applyNumberFormat="1" applyFont="1" applyFill="1" applyBorder="1" applyAlignment="1">
      <alignment horizontal="right"/>
    </xf>
    <xf numFmtId="187" fontId="6" fillId="58" borderId="0" xfId="96" applyNumberFormat="1" applyFont="1" applyFill="1" applyBorder="1" applyAlignment="1">
      <alignment horizontal="right"/>
    </xf>
    <xf numFmtId="187" fontId="6" fillId="58" borderId="29" xfId="96" applyNumberFormat="1" applyFont="1" applyFill="1" applyBorder="1" applyAlignment="1">
      <alignment/>
    </xf>
    <xf numFmtId="187" fontId="6" fillId="58" borderId="31" xfId="201" applyNumberFormat="1" applyFont="1" applyFill="1" applyBorder="1" applyAlignment="1">
      <alignment horizontal="right"/>
    </xf>
    <xf numFmtId="187" fontId="6" fillId="58" borderId="32" xfId="96" applyNumberFormat="1" applyFont="1" applyFill="1" applyBorder="1" applyAlignment="1">
      <alignment/>
    </xf>
    <xf numFmtId="187" fontId="6" fillId="58" borderId="30" xfId="96" applyNumberFormat="1" applyFont="1" applyFill="1" applyBorder="1" applyAlignment="1">
      <alignment horizontal="right"/>
    </xf>
    <xf numFmtId="187" fontId="6" fillId="58" borderId="31" xfId="96" applyNumberFormat="1" applyFont="1" applyFill="1" applyBorder="1" applyAlignment="1">
      <alignment horizontal="right"/>
    </xf>
    <xf numFmtId="37" fontId="6" fillId="58" borderId="0" xfId="201" applyNumberFormat="1" applyFont="1" applyFill="1" applyBorder="1" applyAlignment="1">
      <alignment horizontal="right"/>
    </xf>
    <xf numFmtId="37" fontId="6" fillId="58" borderId="29" xfId="96" applyNumberFormat="1" applyFont="1" applyFill="1" applyBorder="1" applyAlignment="1">
      <alignment/>
    </xf>
    <xf numFmtId="187" fontId="6" fillId="58" borderId="29" xfId="96" applyNumberFormat="1" applyFont="1" applyFill="1" applyBorder="1" applyAlignment="1">
      <alignment horizontal="right"/>
    </xf>
    <xf numFmtId="187" fontId="6" fillId="58" borderId="31" xfId="96" applyNumberFormat="1" applyFont="1" applyFill="1" applyBorder="1" applyAlignment="1">
      <alignment/>
    </xf>
    <xf numFmtId="187" fontId="6" fillId="58" borderId="37" xfId="96" applyNumberFormat="1" applyFont="1" applyFill="1" applyBorder="1" applyAlignment="1">
      <alignment horizontal="right"/>
    </xf>
    <xf numFmtId="187" fontId="6" fillId="58" borderId="35" xfId="96" applyNumberFormat="1" applyFont="1" applyFill="1" applyBorder="1" applyAlignment="1">
      <alignment horizontal="right"/>
    </xf>
    <xf numFmtId="187" fontId="6" fillId="58" borderId="27" xfId="96" applyNumberFormat="1" applyFont="1" applyFill="1" applyBorder="1" applyAlignment="1">
      <alignment horizontal="right"/>
    </xf>
    <xf numFmtId="187" fontId="6" fillId="58" borderId="33" xfId="96" applyNumberFormat="1" applyFont="1" applyFill="1" applyBorder="1" applyAlignment="1">
      <alignment horizontal="right"/>
    </xf>
    <xf numFmtId="187" fontId="6" fillId="58" borderId="27" xfId="0" applyNumberFormat="1" applyFont="1" applyFill="1" applyBorder="1" applyAlignment="1">
      <alignment horizontal="right"/>
    </xf>
    <xf numFmtId="187" fontId="6" fillId="58" borderId="32" xfId="96" applyNumberFormat="1" applyFont="1" applyFill="1" applyBorder="1" applyAlignment="1">
      <alignment horizontal="right"/>
    </xf>
    <xf numFmtId="187" fontId="6" fillId="58" borderId="33" xfId="96" applyNumberFormat="1" applyFont="1" applyFill="1" applyBorder="1" applyAlignment="1">
      <alignment/>
    </xf>
    <xf numFmtId="187" fontId="6" fillId="58" borderId="25" xfId="96" applyNumberFormat="1" applyFont="1" applyFill="1" applyBorder="1" applyAlignment="1">
      <alignment horizontal="right"/>
    </xf>
    <xf numFmtId="187" fontId="6" fillId="58" borderId="22" xfId="96" applyNumberFormat="1" applyFont="1" applyFill="1" applyBorder="1" applyAlignment="1">
      <alignment horizontal="right"/>
    </xf>
    <xf numFmtId="187" fontId="6" fillId="58" borderId="26" xfId="96" applyNumberFormat="1" applyFont="1" applyFill="1" applyBorder="1" applyAlignment="1">
      <alignment horizontal="right"/>
    </xf>
    <xf numFmtId="187" fontId="6" fillId="58" borderId="35" xfId="96" applyNumberFormat="1" applyFont="1" applyFill="1" applyBorder="1" applyAlignment="1">
      <alignment horizontal="center"/>
    </xf>
    <xf numFmtId="187" fontId="6" fillId="58" borderId="0" xfId="201" applyNumberFormat="1" applyFont="1" applyFill="1" applyBorder="1" applyAlignment="1">
      <alignment horizontal="right"/>
    </xf>
    <xf numFmtId="187" fontId="6" fillId="58" borderId="0" xfId="96" applyNumberFormat="1" applyFont="1" applyFill="1" applyBorder="1" applyAlignment="1">
      <alignment/>
    </xf>
    <xf numFmtId="187" fontId="6" fillId="58" borderId="0" xfId="201" applyNumberFormat="1" applyFont="1" applyFill="1" applyBorder="1" applyAlignment="1">
      <alignment/>
    </xf>
    <xf numFmtId="187" fontId="6" fillId="58" borderId="0" xfId="0" applyNumberFormat="1" applyFont="1" applyFill="1" applyBorder="1" applyAlignment="1">
      <alignment/>
    </xf>
    <xf numFmtId="187" fontId="6" fillId="58" borderId="29" xfId="0" applyNumberFormat="1" applyFont="1" applyFill="1" applyBorder="1" applyAlignment="1">
      <alignment/>
    </xf>
    <xf numFmtId="187" fontId="6" fillId="58" borderId="24" xfId="0" applyNumberFormat="1" applyFont="1" applyFill="1" applyBorder="1" applyAlignment="1">
      <alignment/>
    </xf>
    <xf numFmtId="187" fontId="6" fillId="58" borderId="19" xfId="0" applyNumberFormat="1" applyFont="1" applyFill="1" applyBorder="1" applyAlignment="1">
      <alignment/>
    </xf>
    <xf numFmtId="187" fontId="6" fillId="58" borderId="27" xfId="0" applyNumberFormat="1" applyFont="1" applyFill="1" applyBorder="1" applyAlignment="1">
      <alignment/>
    </xf>
    <xf numFmtId="187" fontId="6" fillId="58" borderId="26" xfId="0" applyNumberFormat="1" applyFont="1" applyFill="1" applyBorder="1" applyAlignment="1">
      <alignment/>
    </xf>
    <xf numFmtId="187" fontId="6" fillId="58" borderId="31" xfId="0" applyNumberFormat="1" applyFont="1" applyFill="1" applyBorder="1" applyAlignment="1">
      <alignment/>
    </xf>
    <xf numFmtId="187" fontId="6" fillId="58" borderId="32" xfId="0" applyNumberFormat="1" applyFont="1" applyFill="1" applyBorder="1" applyAlignment="1">
      <alignment/>
    </xf>
    <xf numFmtId="187" fontId="6" fillId="58" borderId="20" xfId="96" applyNumberFormat="1" applyFont="1" applyFill="1" applyBorder="1" applyAlignment="1">
      <alignment/>
    </xf>
    <xf numFmtId="187" fontId="6" fillId="58" borderId="28" xfId="96" applyNumberFormat="1" applyFont="1" applyFill="1" applyBorder="1" applyAlignment="1">
      <alignment/>
    </xf>
    <xf numFmtId="187" fontId="6" fillId="58" borderId="23" xfId="96" applyNumberFormat="1" applyFont="1" applyFill="1" applyBorder="1" applyAlignment="1">
      <alignment/>
    </xf>
    <xf numFmtId="187" fontId="6" fillId="58" borderId="30" xfId="0" applyNumberFormat="1" applyFont="1" applyFill="1" applyBorder="1" applyAlignment="1">
      <alignment/>
    </xf>
    <xf numFmtId="187" fontId="6" fillId="58" borderId="33" xfId="0" applyNumberFormat="1" applyFont="1" applyFill="1" applyBorder="1" applyAlignment="1">
      <alignment/>
    </xf>
    <xf numFmtId="43" fontId="0" fillId="0" borderId="0" xfId="96" applyFont="1" applyBorder="1" applyAlignment="1">
      <alignment/>
    </xf>
    <xf numFmtId="43" fontId="0" fillId="0" borderId="0" xfId="96" applyFont="1" applyFill="1" applyBorder="1" applyAlignment="1">
      <alignment horizontal="left"/>
    </xf>
    <xf numFmtId="189" fontId="20" fillId="0" borderId="0" xfId="0" applyFont="1" applyFill="1" applyAlignment="1">
      <alignment/>
    </xf>
    <xf numFmtId="174" fontId="6" fillId="0" borderId="0" xfId="201" applyNumberFormat="1" applyFont="1" applyFill="1" applyBorder="1" applyAlignment="1">
      <alignment horizontal="right"/>
    </xf>
    <xf numFmtId="174" fontId="6" fillId="0" borderId="0" xfId="96" applyNumberFormat="1" applyFont="1" applyBorder="1" applyAlignment="1">
      <alignment/>
    </xf>
    <xf numFmtId="174" fontId="6" fillId="0" borderId="31" xfId="201" applyNumberFormat="1" applyFont="1" applyFill="1" applyBorder="1" applyAlignment="1">
      <alignment horizontal="right"/>
    </xf>
    <xf numFmtId="172" fontId="6" fillId="0" borderId="0" xfId="0" applyNumberFormat="1" applyFont="1" applyBorder="1" applyAlignment="1">
      <alignment/>
    </xf>
    <xf numFmtId="174" fontId="6" fillId="0" borderId="24" xfId="0" applyNumberFormat="1" applyFont="1" applyBorder="1" applyAlignment="1">
      <alignment horizontal="right"/>
    </xf>
    <xf numFmtId="174" fontId="6" fillId="0" borderId="19" xfId="0" applyNumberFormat="1" applyFont="1" applyBorder="1" applyAlignment="1">
      <alignment horizontal="right"/>
    </xf>
    <xf numFmtId="174" fontId="6" fillId="0" borderId="26" xfId="96" applyNumberFormat="1" applyFont="1" applyBorder="1" applyAlignment="1">
      <alignment horizontal="right"/>
    </xf>
    <xf numFmtId="185" fontId="6" fillId="0" borderId="0" xfId="96" applyNumberFormat="1" applyFont="1" applyFill="1" applyBorder="1" applyAlignment="1">
      <alignment horizontal="right"/>
    </xf>
    <xf numFmtId="185" fontId="6" fillId="0" borderId="29" xfId="96" applyNumberFormat="1" applyFont="1" applyFill="1" applyBorder="1" applyAlignment="1">
      <alignment horizontal="right"/>
    </xf>
    <xf numFmtId="185" fontId="6" fillId="0" borderId="27" xfId="96" applyNumberFormat="1" applyFont="1" applyFill="1" applyBorder="1" applyAlignment="1">
      <alignment horizontal="right"/>
    </xf>
    <xf numFmtId="186" fontId="6" fillId="0" borderId="0" xfId="201" applyNumberFormat="1" applyFont="1" applyFill="1" applyBorder="1" applyAlignment="1">
      <alignment horizontal="right"/>
    </xf>
    <xf numFmtId="186" fontId="6" fillId="0" borderId="0" xfId="96" applyNumberFormat="1" applyFont="1" applyBorder="1" applyAlignment="1">
      <alignment/>
    </xf>
    <xf numFmtId="172" fontId="6" fillId="0" borderId="0" xfId="96" applyNumberFormat="1" applyFont="1" applyFill="1" applyBorder="1" applyAlignment="1">
      <alignment horizontal="right"/>
    </xf>
    <xf numFmtId="172" fontId="6" fillId="0" borderId="29" xfId="96" applyNumberFormat="1" applyFont="1" applyFill="1" applyBorder="1" applyAlignment="1">
      <alignment horizontal="right"/>
    </xf>
    <xf numFmtId="172" fontId="6" fillId="0" borderId="0" xfId="96" applyNumberFormat="1" applyFont="1" applyFill="1" applyBorder="1" applyAlignment="1">
      <alignment/>
    </xf>
    <xf numFmtId="174" fontId="6" fillId="0" borderId="0" xfId="0" applyNumberFormat="1" applyFont="1" applyFill="1" applyBorder="1" applyAlignment="1">
      <alignment/>
    </xf>
    <xf numFmtId="187" fontId="6" fillId="0" borderId="29" xfId="96" applyNumberFormat="1" applyFont="1" applyBorder="1" applyAlignment="1">
      <alignment/>
    </xf>
    <xf numFmtId="37" fontId="6" fillId="58" borderId="0" xfId="96" applyNumberFormat="1" applyFont="1" applyFill="1" applyBorder="1" applyAlignment="1">
      <alignment/>
    </xf>
    <xf numFmtId="187" fontId="6" fillId="0" borderId="27" xfId="96" applyNumberFormat="1" applyFont="1" applyBorder="1" applyAlignment="1">
      <alignment horizontal="right"/>
    </xf>
    <xf numFmtId="43" fontId="0" fillId="0" borderId="0" xfId="96" applyFont="1" applyFill="1" applyBorder="1" applyAlignment="1">
      <alignment/>
    </xf>
    <xf numFmtId="187" fontId="6" fillId="0" borderId="24" xfId="96" applyNumberFormat="1" applyFont="1" applyFill="1" applyBorder="1" applyAlignment="1">
      <alignment horizontal="right"/>
    </xf>
    <xf numFmtId="187" fontId="6" fillId="0" borderId="19" xfId="96" applyNumberFormat="1" applyFont="1" applyFill="1" applyBorder="1" applyAlignment="1">
      <alignment/>
    </xf>
    <xf numFmtId="37" fontId="6" fillId="0" borderId="23" xfId="201" applyNumberFormat="1" applyFont="1" applyFill="1" applyBorder="1" applyAlignment="1">
      <alignment horizontal="right"/>
    </xf>
    <xf numFmtId="37" fontId="6" fillId="58" borderId="24" xfId="201" applyNumberFormat="1" applyFont="1" applyFill="1" applyBorder="1" applyAlignment="1">
      <alignment horizontal="right"/>
    </xf>
    <xf numFmtId="37" fontId="6" fillId="58" borderId="19" xfId="96" applyNumberFormat="1" applyFont="1" applyFill="1" applyBorder="1" applyAlignment="1">
      <alignment/>
    </xf>
    <xf numFmtId="187" fontId="6" fillId="58" borderId="26" xfId="0" applyNumberFormat="1" applyFont="1" applyFill="1" applyBorder="1" applyAlignment="1">
      <alignment horizontal="right"/>
    </xf>
    <xf numFmtId="187" fontId="6" fillId="0" borderId="26" xfId="96" applyNumberFormat="1" applyFont="1" applyBorder="1" applyAlignment="1">
      <alignment horizontal="right"/>
    </xf>
    <xf numFmtId="172" fontId="6" fillId="0" borderId="23" xfId="0" applyNumberFormat="1" applyFont="1" applyBorder="1" applyAlignment="1">
      <alignment horizontal="right"/>
    </xf>
    <xf numFmtId="37" fontId="6" fillId="0" borderId="23" xfId="0" applyNumberFormat="1" applyFont="1" applyBorder="1" applyAlignment="1">
      <alignment horizontal="right"/>
    </xf>
    <xf numFmtId="176" fontId="0" fillId="0" borderId="0" xfId="201" applyNumberFormat="1" applyFont="1" applyFill="1" applyBorder="1" applyAlignment="1">
      <alignment/>
    </xf>
    <xf numFmtId="2" fontId="0" fillId="0" borderId="0" xfId="201" applyNumberFormat="1" applyFont="1" applyFill="1" applyBorder="1" applyAlignment="1">
      <alignment/>
    </xf>
    <xf numFmtId="189" fontId="0" fillId="0" borderId="20" xfId="0" applyFill="1" applyBorder="1" applyAlignment="1">
      <alignment/>
    </xf>
    <xf numFmtId="189" fontId="0" fillId="0" borderId="22" xfId="0" applyFill="1" applyBorder="1" applyAlignment="1">
      <alignment/>
    </xf>
    <xf numFmtId="189" fontId="0" fillId="0" borderId="25" xfId="0" applyFill="1" applyBorder="1" applyAlignment="1">
      <alignment/>
    </xf>
    <xf numFmtId="189" fontId="0" fillId="0" borderId="27" xfId="0" applyFill="1" applyBorder="1" applyAlignment="1">
      <alignment/>
    </xf>
    <xf numFmtId="189" fontId="0" fillId="0" borderId="31" xfId="0" applyFill="1" applyBorder="1" applyAlignment="1">
      <alignment/>
    </xf>
    <xf numFmtId="189" fontId="0" fillId="0" borderId="32" xfId="0" applyFill="1" applyBorder="1" applyAlignment="1">
      <alignment/>
    </xf>
    <xf numFmtId="189" fontId="0" fillId="0" borderId="29" xfId="0" applyFill="1" applyBorder="1" applyAlignment="1">
      <alignment/>
    </xf>
    <xf numFmtId="187" fontId="6" fillId="0" borderId="29" xfId="96" applyNumberFormat="1" applyFont="1" applyFill="1" applyBorder="1" applyAlignment="1">
      <alignment horizontal="center"/>
    </xf>
    <xf numFmtId="189" fontId="6" fillId="0" borderId="29" xfId="0" applyFont="1" applyFill="1" applyBorder="1" applyAlignment="1">
      <alignment horizontal="center"/>
    </xf>
    <xf numFmtId="189" fontId="6" fillId="0" borderId="23" xfId="0" applyFont="1" applyFill="1" applyBorder="1" applyAlignment="1">
      <alignment/>
    </xf>
    <xf numFmtId="189" fontId="6" fillId="0" borderId="19" xfId="0" applyFont="1" applyFill="1" applyBorder="1" applyAlignment="1">
      <alignment/>
    </xf>
    <xf numFmtId="189" fontId="34" fillId="0" borderId="0" xfId="0" applyFont="1" applyFill="1" applyAlignment="1">
      <alignment/>
    </xf>
    <xf numFmtId="173" fontId="3" fillId="0" borderId="0" xfId="0" applyNumberFormat="1" applyFont="1" applyFill="1" applyBorder="1" applyAlignment="1">
      <alignment/>
    </xf>
    <xf numFmtId="189" fontId="6" fillId="0" borderId="22" xfId="0" applyFont="1" applyFill="1" applyBorder="1" applyAlignment="1">
      <alignment/>
    </xf>
    <xf numFmtId="189" fontId="6" fillId="0" borderId="21" xfId="0" applyFont="1" applyFill="1" applyBorder="1" applyAlignment="1">
      <alignment/>
    </xf>
    <xf numFmtId="189" fontId="6" fillId="0" borderId="20" xfId="0" applyFont="1" applyFill="1" applyBorder="1" applyAlignment="1">
      <alignment/>
    </xf>
    <xf numFmtId="37" fontId="6" fillId="0" borderId="29" xfId="0" applyNumberFormat="1" applyFont="1" applyFill="1" applyBorder="1" applyAlignment="1">
      <alignment/>
    </xf>
    <xf numFmtId="189" fontId="4" fillId="0" borderId="0" xfId="0" applyFont="1" applyFill="1" applyAlignment="1">
      <alignment/>
    </xf>
    <xf numFmtId="187" fontId="0" fillId="0" borderId="0" xfId="96" applyNumberFormat="1" applyFont="1" applyFill="1" applyBorder="1" applyAlignment="1">
      <alignment/>
    </xf>
    <xf numFmtId="43" fontId="4" fillId="0" borderId="0" xfId="96" applyFont="1" applyFill="1" applyBorder="1" applyAlignment="1">
      <alignment horizontal="left"/>
    </xf>
    <xf numFmtId="189" fontId="115" fillId="59" borderId="0" xfId="0" applyFont="1" applyFill="1" applyBorder="1" applyAlignment="1">
      <alignment/>
    </xf>
    <xf numFmtId="173" fontId="6" fillId="59" borderId="0" xfId="201" applyNumberFormat="1" applyFont="1" applyFill="1" applyBorder="1" applyAlignment="1">
      <alignment horizontal="right"/>
    </xf>
    <xf numFmtId="189" fontId="6" fillId="0" borderId="0" xfId="0" applyFont="1" applyBorder="1" applyAlignment="1">
      <alignment horizontal="left" indent="1"/>
    </xf>
    <xf numFmtId="197" fontId="6" fillId="0" borderId="0" xfId="96" applyNumberFormat="1" applyFont="1" applyFill="1" applyBorder="1" applyAlignment="1">
      <alignment/>
    </xf>
    <xf numFmtId="183" fontId="6" fillId="0" borderId="0" xfId="0" applyNumberFormat="1" applyFont="1" applyFill="1" applyBorder="1" applyAlignment="1">
      <alignment/>
    </xf>
    <xf numFmtId="193" fontId="20" fillId="0" borderId="0" xfId="119" applyNumberFormat="1" applyFont="1" applyFill="1" applyBorder="1" applyAlignment="1" quotePrefix="1">
      <alignment horizontal="center"/>
    </xf>
    <xf numFmtId="197" fontId="0" fillId="0" borderId="0" xfId="96" applyNumberFormat="1" applyFont="1" applyBorder="1" applyAlignment="1">
      <alignment/>
    </xf>
    <xf numFmtId="189" fontId="6" fillId="0" borderId="59" xfId="0" applyFont="1" applyBorder="1" applyAlignment="1">
      <alignment/>
    </xf>
    <xf numFmtId="37" fontId="6" fillId="0" borderId="59" xfId="96" applyNumberFormat="1" applyFont="1" applyFill="1" applyBorder="1" applyAlignment="1">
      <alignment horizontal="right"/>
    </xf>
    <xf numFmtId="176" fontId="0" fillId="0" borderId="0" xfId="201" applyNumberFormat="1" applyFont="1" applyAlignment="1">
      <alignment/>
    </xf>
    <xf numFmtId="2" fontId="36" fillId="0" borderId="0" xfId="0" applyNumberFormat="1" applyFont="1" applyBorder="1" applyAlignment="1">
      <alignment horizontal="right" vertical="center"/>
    </xf>
    <xf numFmtId="176" fontId="0" fillId="0" borderId="0" xfId="201" applyNumberFormat="1" applyFont="1" applyBorder="1" applyAlignment="1">
      <alignment/>
    </xf>
    <xf numFmtId="187" fontId="0" fillId="0" borderId="0" xfId="96" applyNumberFormat="1" applyFont="1" applyBorder="1" applyAlignment="1">
      <alignment/>
    </xf>
    <xf numFmtId="174" fontId="11" fillId="0" borderId="36" xfId="96" applyNumberFormat="1" applyFont="1" applyFill="1" applyBorder="1" applyAlignment="1">
      <alignment horizontal="right"/>
    </xf>
    <xf numFmtId="174" fontId="11" fillId="0" borderId="37" xfId="96" applyNumberFormat="1" applyFont="1" applyFill="1" applyBorder="1" applyAlignment="1">
      <alignment horizontal="right"/>
    </xf>
    <xf numFmtId="173" fontId="6" fillId="0" borderId="22" xfId="201" applyNumberFormat="1" applyFont="1" applyFill="1" applyBorder="1" applyAlignment="1">
      <alignment/>
    </xf>
    <xf numFmtId="37" fontId="6" fillId="0" borderId="21" xfId="96" applyNumberFormat="1" applyFont="1" applyFill="1" applyBorder="1" applyAlignment="1">
      <alignment horizontal="center"/>
    </xf>
    <xf numFmtId="37" fontId="6" fillId="0" borderId="22" xfId="96" applyNumberFormat="1" applyFont="1" applyFill="1" applyBorder="1" applyAlignment="1">
      <alignment horizontal="center"/>
    </xf>
    <xf numFmtId="174" fontId="6" fillId="0" borderId="25" xfId="96" applyNumberFormat="1" applyFont="1" applyFill="1" applyBorder="1" applyAlignment="1">
      <alignment horizontal="center"/>
    </xf>
    <xf numFmtId="37" fontId="6" fillId="0" borderId="20" xfId="96" applyNumberFormat="1" applyFont="1" applyFill="1" applyBorder="1" applyAlignment="1">
      <alignment horizontal="center"/>
    </xf>
    <xf numFmtId="172" fontId="6" fillId="0" borderId="29" xfId="96" applyNumberFormat="1" applyFont="1" applyFill="1" applyBorder="1" applyAlignment="1">
      <alignment/>
    </xf>
    <xf numFmtId="9" fontId="0" fillId="0" borderId="0" xfId="201" applyFont="1" applyBorder="1" applyAlignment="1">
      <alignment/>
    </xf>
    <xf numFmtId="189" fontId="11" fillId="0" borderId="0" xfId="0" applyFont="1" applyBorder="1" applyAlignment="1">
      <alignment wrapText="1"/>
    </xf>
    <xf numFmtId="37" fontId="6" fillId="0" borderId="28" xfId="96" applyNumberFormat="1" applyFont="1" applyFill="1" applyBorder="1" applyAlignment="1">
      <alignment horizontal="center"/>
    </xf>
    <xf numFmtId="37" fontId="6" fillId="0" borderId="19" xfId="96" applyNumberFormat="1" applyFont="1" applyFill="1" applyBorder="1" applyAlignment="1">
      <alignment horizontal="center"/>
    </xf>
    <xf numFmtId="174" fontId="6" fillId="0" borderId="26" xfId="96" applyNumberFormat="1" applyFont="1" applyFill="1" applyBorder="1" applyAlignment="1">
      <alignment horizontal="center"/>
    </xf>
    <xf numFmtId="189" fontId="6" fillId="0" borderId="0" xfId="0" applyFont="1" applyBorder="1" applyAlignment="1">
      <alignment horizontal="left" wrapText="1" indent="1"/>
    </xf>
    <xf numFmtId="172" fontId="6" fillId="0" borderId="19" xfId="96" applyNumberFormat="1" applyFont="1" applyFill="1" applyBorder="1" applyAlignment="1">
      <alignment horizontal="right"/>
    </xf>
    <xf numFmtId="172" fontId="6" fillId="0" borderId="27" xfId="96" applyNumberFormat="1" applyFont="1" applyFill="1" applyBorder="1" applyAlignment="1">
      <alignment horizontal="right"/>
    </xf>
    <xf numFmtId="172" fontId="6" fillId="0" borderId="25" xfId="96" applyNumberFormat="1" applyFont="1" applyFill="1" applyBorder="1" applyAlignment="1">
      <alignment horizontal="right"/>
    </xf>
    <xf numFmtId="172" fontId="6" fillId="0" borderId="24" xfId="96" applyNumberFormat="1" applyFont="1" applyFill="1" applyBorder="1" applyAlignment="1">
      <alignment horizontal="right"/>
    </xf>
    <xf numFmtId="172" fontId="6" fillId="0" borderId="29" xfId="0" applyNumberFormat="1" applyFont="1" applyBorder="1" applyAlignment="1">
      <alignment/>
    </xf>
    <xf numFmtId="174" fontId="6" fillId="0" borderId="29" xfId="201" applyNumberFormat="1" applyFont="1" applyFill="1" applyBorder="1" applyAlignment="1">
      <alignment horizontal="right"/>
    </xf>
    <xf numFmtId="174" fontId="6" fillId="0" borderId="27" xfId="201" applyNumberFormat="1" applyFont="1" applyFill="1" applyBorder="1" applyAlignment="1">
      <alignment horizontal="right"/>
    </xf>
    <xf numFmtId="174" fontId="6" fillId="0" borderId="28" xfId="201" applyNumberFormat="1" applyFont="1" applyFill="1" applyBorder="1" applyAlignment="1">
      <alignment horizontal="right"/>
    </xf>
    <xf numFmtId="174" fontId="6" fillId="0" borderId="0" xfId="201" applyNumberFormat="1" applyFont="1" applyFill="1" applyBorder="1" applyAlignment="1">
      <alignment/>
    </xf>
    <xf numFmtId="174" fontId="6" fillId="0" borderId="27" xfId="201" applyNumberFormat="1" applyFont="1" applyFill="1" applyBorder="1" applyAlignment="1">
      <alignment/>
    </xf>
    <xf numFmtId="37" fontId="6" fillId="0" borderId="60" xfId="96" applyNumberFormat="1" applyFont="1" applyFill="1" applyBorder="1" applyAlignment="1">
      <alignment horizontal="right"/>
    </xf>
    <xf numFmtId="172" fontId="6" fillId="59" borderId="27" xfId="96" applyNumberFormat="1" applyFont="1" applyFill="1" applyBorder="1" applyAlignment="1">
      <alignment horizontal="right"/>
    </xf>
    <xf numFmtId="37" fontId="6" fillId="59" borderId="27" xfId="96" applyNumberFormat="1" applyFont="1" applyFill="1" applyBorder="1" applyAlignment="1">
      <alignment horizontal="right"/>
    </xf>
    <xf numFmtId="37" fontId="6" fillId="59" borderId="26" xfId="96" applyNumberFormat="1" applyFont="1" applyFill="1" applyBorder="1" applyAlignment="1">
      <alignment horizontal="right"/>
    </xf>
    <xf numFmtId="187" fontId="6" fillId="0" borderId="22" xfId="96" applyNumberFormat="1" applyFont="1" applyFill="1" applyBorder="1" applyAlignment="1">
      <alignment horizontal="right"/>
    </xf>
    <xf numFmtId="37" fontId="6" fillId="0" borderId="25" xfId="96" applyNumberFormat="1" applyFont="1" applyFill="1" applyBorder="1" applyAlignment="1">
      <alignment horizontal="center"/>
    </xf>
    <xf numFmtId="187" fontId="6" fillId="58" borderId="22" xfId="96" applyNumberFormat="1" applyFont="1" applyFill="1" applyBorder="1" applyAlignment="1">
      <alignment horizontal="center"/>
    </xf>
    <xf numFmtId="187" fontId="6" fillId="0" borderId="21" xfId="96" applyNumberFormat="1" applyFont="1" applyFill="1" applyBorder="1" applyAlignment="1">
      <alignment horizontal="right"/>
    </xf>
    <xf numFmtId="187" fontId="6" fillId="0" borderId="25" xfId="96" applyNumberFormat="1" applyFont="1" applyFill="1" applyBorder="1" applyAlignment="1">
      <alignment horizontal="right"/>
    </xf>
    <xf numFmtId="174" fontId="6" fillId="0" borderId="61" xfId="96" applyNumberFormat="1" applyFont="1" applyFill="1" applyBorder="1" applyAlignment="1">
      <alignment/>
    </xf>
    <xf numFmtId="187" fontId="6" fillId="58" borderId="57" xfId="96" applyNumberFormat="1" applyFont="1" applyFill="1" applyBorder="1" applyAlignment="1">
      <alignment horizontal="right"/>
    </xf>
    <xf numFmtId="187" fontId="6" fillId="58" borderId="58" xfId="96" applyNumberFormat="1" applyFont="1" applyFill="1" applyBorder="1" applyAlignment="1">
      <alignment horizontal="right"/>
    </xf>
    <xf numFmtId="187" fontId="6" fillId="58" borderId="62" xfId="96" applyNumberFormat="1" applyFont="1" applyFill="1" applyBorder="1" applyAlignment="1">
      <alignment horizontal="right"/>
    </xf>
    <xf numFmtId="187" fontId="6" fillId="58" borderId="62" xfId="96" applyNumberFormat="1" applyFont="1" applyFill="1" applyBorder="1" applyAlignment="1">
      <alignment horizontal="center"/>
    </xf>
    <xf numFmtId="187" fontId="6" fillId="0" borderId="19" xfId="96" applyNumberFormat="1" applyFont="1" applyFill="1" applyBorder="1" applyAlignment="1">
      <alignment horizontal="right"/>
    </xf>
    <xf numFmtId="172" fontId="6" fillId="58" borderId="0" xfId="96" applyNumberFormat="1" applyFont="1" applyFill="1" applyBorder="1" applyAlignment="1">
      <alignment horizontal="right"/>
    </xf>
    <xf numFmtId="37" fontId="6" fillId="58" borderId="0" xfId="96" applyNumberFormat="1" applyFont="1" applyFill="1" applyBorder="1" applyAlignment="1">
      <alignment horizontal="right"/>
    </xf>
    <xf numFmtId="172" fontId="6" fillId="0" borderId="22" xfId="96" applyNumberFormat="1" applyFont="1" applyFill="1" applyBorder="1" applyAlignment="1">
      <alignment horizontal="right"/>
    </xf>
    <xf numFmtId="172" fontId="6" fillId="0" borderId="32" xfId="96" applyNumberFormat="1" applyFont="1" applyFill="1" applyBorder="1" applyAlignment="1">
      <alignment horizontal="right"/>
    </xf>
    <xf numFmtId="37" fontId="6" fillId="0" borderId="60" xfId="0" applyNumberFormat="1" applyFont="1" applyBorder="1" applyAlignment="1">
      <alignment horizontal="right"/>
    </xf>
    <xf numFmtId="172" fontId="6" fillId="0" borderId="19" xfId="0" applyNumberFormat="1" applyFont="1" applyBorder="1" applyAlignment="1">
      <alignment/>
    </xf>
    <xf numFmtId="172" fontId="6" fillId="0" borderId="24" xfId="96" applyNumberFormat="1" applyFont="1" applyFill="1" applyBorder="1" applyAlignment="1">
      <alignment/>
    </xf>
    <xf numFmtId="172" fontId="6" fillId="0" borderId="19" xfId="96" applyNumberFormat="1" applyFont="1" applyFill="1" applyBorder="1" applyAlignment="1">
      <alignment/>
    </xf>
    <xf numFmtId="172" fontId="6" fillId="0" borderId="26" xfId="96" applyNumberFormat="1" applyFont="1" applyFill="1" applyBorder="1" applyAlignment="1">
      <alignment horizontal="right"/>
    </xf>
    <xf numFmtId="187" fontId="6" fillId="0" borderId="32" xfId="96" applyNumberFormat="1" applyFont="1" applyFill="1" applyBorder="1" applyAlignment="1">
      <alignment horizontal="right"/>
    </xf>
    <xf numFmtId="187" fontId="6" fillId="58" borderId="33" xfId="96" applyNumberFormat="1" applyFont="1" applyFill="1" applyBorder="1" applyAlignment="1">
      <alignment horizontal="center"/>
    </xf>
    <xf numFmtId="172" fontId="6" fillId="58" borderId="31" xfId="96" applyNumberFormat="1" applyFont="1" applyFill="1" applyBorder="1" applyAlignment="1">
      <alignment horizontal="right"/>
    </xf>
    <xf numFmtId="172" fontId="6" fillId="58" borderId="32" xfId="96" applyNumberFormat="1" applyFont="1" applyFill="1" applyBorder="1" applyAlignment="1">
      <alignment horizontal="right"/>
    </xf>
    <xf numFmtId="189" fontId="0" fillId="0" borderId="28" xfId="0" applyFont="1" applyBorder="1" applyAlignment="1">
      <alignment horizontal="left" wrapText="1" indent="2"/>
    </xf>
    <xf numFmtId="0" fontId="0" fillId="0" borderId="0" xfId="167">
      <alignment/>
      <protection/>
    </xf>
    <xf numFmtId="0" fontId="0" fillId="0" borderId="0" xfId="167" applyBorder="1">
      <alignment/>
      <protection/>
    </xf>
    <xf numFmtId="37" fontId="0" fillId="0" borderId="0" xfId="167" applyNumberFormat="1" applyBorder="1">
      <alignment/>
      <protection/>
    </xf>
    <xf numFmtId="0" fontId="0" fillId="0" borderId="0" xfId="167" applyAlignment="1">
      <alignment/>
      <protection/>
    </xf>
    <xf numFmtId="0" fontId="3" fillId="0" borderId="0" xfId="167" applyFont="1">
      <alignment/>
      <protection/>
    </xf>
    <xf numFmtId="0" fontId="4" fillId="0" borderId="0" xfId="167" applyFont="1" applyFill="1" applyBorder="1" applyAlignment="1">
      <alignment horizontal="left"/>
      <protection/>
    </xf>
    <xf numFmtId="0" fontId="0" fillId="0" borderId="0" xfId="167" applyFill="1" applyBorder="1">
      <alignment/>
      <protection/>
    </xf>
    <xf numFmtId="0" fontId="0" fillId="0" borderId="24" xfId="167" applyFill="1" applyBorder="1">
      <alignment/>
      <protection/>
    </xf>
    <xf numFmtId="0" fontId="0" fillId="0" borderId="0" xfId="167" applyBorder="1" applyAlignment="1">
      <alignment/>
      <protection/>
    </xf>
    <xf numFmtId="0" fontId="5" fillId="0" borderId="0" xfId="167" applyFont="1" applyFill="1" applyBorder="1">
      <alignment/>
      <protection/>
    </xf>
    <xf numFmtId="0" fontId="6" fillId="0" borderId="0" xfId="167" applyFont="1" applyFill="1" applyBorder="1">
      <alignment/>
      <protection/>
    </xf>
    <xf numFmtId="0" fontId="11" fillId="0" borderId="27" xfId="167" applyFont="1" applyFill="1" applyBorder="1" applyAlignment="1">
      <alignment horizontal="center"/>
      <protection/>
    </xf>
    <xf numFmtId="0" fontId="0" fillId="0" borderId="21" xfId="167" applyBorder="1">
      <alignment/>
      <protection/>
    </xf>
    <xf numFmtId="0" fontId="0" fillId="0" borderId="22" xfId="167" applyBorder="1">
      <alignment/>
      <protection/>
    </xf>
    <xf numFmtId="0" fontId="0" fillId="0" borderId="20" xfId="167" applyBorder="1">
      <alignment/>
      <protection/>
    </xf>
    <xf numFmtId="0" fontId="0" fillId="0" borderId="27" xfId="167" applyBorder="1">
      <alignment/>
      <protection/>
    </xf>
    <xf numFmtId="0" fontId="11" fillId="0" borderId="0" xfId="167" applyFont="1" applyFill="1" applyBorder="1" applyAlignment="1">
      <alignment horizontal="center"/>
      <protection/>
    </xf>
    <xf numFmtId="0" fontId="11" fillId="0" borderId="25" xfId="167" applyFont="1" applyFill="1" applyBorder="1" applyAlignment="1">
      <alignment horizontal="center"/>
      <protection/>
    </xf>
    <xf numFmtId="0" fontId="0" fillId="0" borderId="25" xfId="167" applyBorder="1">
      <alignment/>
      <protection/>
    </xf>
    <xf numFmtId="0" fontId="11" fillId="0" borderId="25" xfId="167" applyFont="1" applyBorder="1" applyAlignment="1">
      <alignment horizontal="center"/>
      <protection/>
    </xf>
    <xf numFmtId="0" fontId="0" fillId="0" borderId="28" xfId="167" applyBorder="1">
      <alignment/>
      <protection/>
    </xf>
    <xf numFmtId="0" fontId="2" fillId="0" borderId="27" xfId="167" applyFont="1" applyFill="1" applyBorder="1" applyAlignment="1">
      <alignment horizontal="center"/>
      <protection/>
    </xf>
    <xf numFmtId="0" fontId="11" fillId="0" borderId="24" xfId="167" applyFont="1" applyFill="1" applyBorder="1" applyAlignment="1">
      <alignment horizontal="center"/>
      <protection/>
    </xf>
    <xf numFmtId="0" fontId="11" fillId="0" borderId="19" xfId="167" applyFont="1" applyFill="1" applyBorder="1" applyAlignment="1">
      <alignment horizontal="center"/>
      <protection/>
    </xf>
    <xf numFmtId="0" fontId="11" fillId="0" borderId="23" xfId="167" applyFont="1" applyFill="1" applyBorder="1" applyAlignment="1">
      <alignment horizontal="center"/>
      <protection/>
    </xf>
    <xf numFmtId="0" fontId="2" fillId="0" borderId="0" xfId="167" applyFont="1" applyFill="1" applyBorder="1" applyAlignment="1">
      <alignment horizontal="center"/>
      <protection/>
    </xf>
    <xf numFmtId="0" fontId="11" fillId="0" borderId="26" xfId="167" applyFont="1" applyFill="1" applyBorder="1" applyAlignment="1">
      <alignment horizontal="center"/>
      <protection/>
    </xf>
    <xf numFmtId="0" fontId="40" fillId="0" borderId="28" xfId="167" applyFont="1" applyFill="1" applyBorder="1" applyAlignment="1">
      <alignment horizontal="center"/>
      <protection/>
    </xf>
    <xf numFmtId="0" fontId="40" fillId="0" borderId="22" xfId="167" applyFont="1" applyFill="1" applyBorder="1" applyAlignment="1">
      <alignment horizontal="center"/>
      <protection/>
    </xf>
    <xf numFmtId="0" fontId="40" fillId="0" borderId="27" xfId="167" applyFont="1" applyFill="1" applyBorder="1" applyAlignment="1">
      <alignment horizontal="center"/>
      <protection/>
    </xf>
    <xf numFmtId="0" fontId="5" fillId="0" borderId="31" xfId="167" applyFont="1" applyFill="1" applyBorder="1" applyAlignment="1">
      <alignment horizontal="center"/>
      <protection/>
    </xf>
    <xf numFmtId="0" fontId="5" fillId="0" borderId="32" xfId="167" applyFont="1" applyFill="1" applyBorder="1" applyAlignment="1">
      <alignment horizontal="center"/>
      <protection/>
    </xf>
    <xf numFmtId="0" fontId="5" fillId="0" borderId="0" xfId="167" applyFont="1" applyFill="1" applyBorder="1" applyAlignment="1">
      <alignment horizontal="center"/>
      <protection/>
    </xf>
    <xf numFmtId="0" fontId="5" fillId="0" borderId="29" xfId="167" applyFont="1" applyFill="1" applyBorder="1" applyAlignment="1">
      <alignment horizontal="center"/>
      <protection/>
    </xf>
    <xf numFmtId="0" fontId="5" fillId="0" borderId="28" xfId="167" applyFont="1" applyFill="1" applyBorder="1" applyAlignment="1">
      <alignment horizontal="center"/>
      <protection/>
    </xf>
    <xf numFmtId="0" fontId="5" fillId="0" borderId="27" xfId="167" applyFont="1" applyFill="1" applyBorder="1" applyAlignment="1">
      <alignment horizontal="center"/>
      <protection/>
    </xf>
    <xf numFmtId="189" fontId="5" fillId="0" borderId="30" xfId="175" applyFont="1" applyFill="1" applyBorder="1" applyAlignment="1">
      <alignment horizontal="center"/>
      <protection/>
    </xf>
    <xf numFmtId="189" fontId="5" fillId="0" borderId="31" xfId="175" applyFont="1" applyFill="1" applyBorder="1" applyAlignment="1">
      <alignment horizontal="center"/>
      <protection/>
    </xf>
    <xf numFmtId="189" fontId="0" fillId="0" borderId="31" xfId="175" applyBorder="1">
      <alignment/>
      <protection/>
    </xf>
    <xf numFmtId="189" fontId="0" fillId="0" borderId="32" xfId="175" applyBorder="1">
      <alignment/>
      <protection/>
    </xf>
    <xf numFmtId="0" fontId="40" fillId="0" borderId="0" xfId="167" applyFont="1" applyFill="1" applyBorder="1" applyAlignment="1">
      <alignment horizontal="center"/>
      <protection/>
    </xf>
    <xf numFmtId="0" fontId="5" fillId="0" borderId="33" xfId="167" applyFont="1" applyFill="1" applyBorder="1" applyAlignment="1">
      <alignment horizontal="center"/>
      <protection/>
    </xf>
    <xf numFmtId="0" fontId="31" fillId="0" borderId="28" xfId="167" applyFont="1" applyBorder="1">
      <alignment/>
      <protection/>
    </xf>
    <xf numFmtId="0" fontId="31" fillId="0" borderId="0" xfId="167" applyFont="1" applyBorder="1">
      <alignment/>
      <protection/>
    </xf>
    <xf numFmtId="0" fontId="31" fillId="0" borderId="0" xfId="167" applyFont="1">
      <alignment/>
      <protection/>
    </xf>
    <xf numFmtId="0" fontId="11" fillId="0" borderId="0" xfId="167" applyFont="1" applyFill="1" applyBorder="1">
      <alignment/>
      <protection/>
    </xf>
    <xf numFmtId="0" fontId="8" fillId="0" borderId="0" xfId="167" applyFont="1" applyFill="1" applyBorder="1">
      <alignment/>
      <protection/>
    </xf>
    <xf numFmtId="0" fontId="6" fillId="0" borderId="28" xfId="167" applyFont="1" applyBorder="1">
      <alignment/>
      <protection/>
    </xf>
    <xf numFmtId="0" fontId="6" fillId="0" borderId="29" xfId="167" applyFont="1" applyBorder="1">
      <alignment/>
      <protection/>
    </xf>
    <xf numFmtId="0" fontId="6" fillId="0" borderId="27" xfId="167" applyFont="1" applyBorder="1">
      <alignment/>
      <protection/>
    </xf>
    <xf numFmtId="0" fontId="6" fillId="0" borderId="0" xfId="167" applyFont="1" applyBorder="1">
      <alignment/>
      <protection/>
    </xf>
    <xf numFmtId="0" fontId="6" fillId="0" borderId="21" xfId="167" applyFont="1" applyBorder="1">
      <alignment/>
      <protection/>
    </xf>
    <xf numFmtId="0" fontId="6" fillId="0" borderId="21" xfId="167" applyFont="1" applyBorder="1" applyAlignment="1">
      <alignment/>
      <protection/>
    </xf>
    <xf numFmtId="0" fontId="6" fillId="0" borderId="22" xfId="167" applyFont="1" applyBorder="1" applyAlignment="1">
      <alignment/>
      <protection/>
    </xf>
    <xf numFmtId="0" fontId="6" fillId="0" borderId="0" xfId="167" applyFont="1">
      <alignment/>
      <protection/>
    </xf>
    <xf numFmtId="181" fontId="6" fillId="0" borderId="27" xfId="104" applyNumberFormat="1" applyFont="1" applyFill="1" applyBorder="1" applyAlignment="1">
      <alignment/>
    </xf>
    <xf numFmtId="181" fontId="6" fillId="0" borderId="25" xfId="104" applyNumberFormat="1" applyFont="1" applyFill="1" applyBorder="1" applyAlignment="1">
      <alignment/>
    </xf>
    <xf numFmtId="174" fontId="6" fillId="0" borderId="28" xfId="104" applyNumberFormat="1" applyFont="1" applyFill="1" applyBorder="1" applyAlignment="1">
      <alignment/>
    </xf>
    <xf numFmtId="173" fontId="6" fillId="0" borderId="29" xfId="204" applyNumberFormat="1" applyFont="1" applyFill="1" applyBorder="1" applyAlignment="1">
      <alignment horizontal="right"/>
    </xf>
    <xf numFmtId="173" fontId="6" fillId="0" borderId="27" xfId="204" applyNumberFormat="1" applyFont="1" applyFill="1" applyBorder="1" applyAlignment="1">
      <alignment horizontal="right"/>
    </xf>
    <xf numFmtId="37" fontId="6" fillId="0" borderId="24" xfId="104" applyNumberFormat="1" applyFont="1" applyFill="1" applyBorder="1" applyAlignment="1">
      <alignment/>
    </xf>
    <xf numFmtId="37" fontId="6" fillId="0" borderId="29" xfId="104" applyNumberFormat="1" applyFont="1" applyFill="1" applyBorder="1" applyAlignment="1">
      <alignment/>
    </xf>
    <xf numFmtId="37" fontId="6" fillId="0" borderId="24" xfId="167" applyNumberFormat="1" applyFont="1" applyFill="1" applyBorder="1">
      <alignment/>
      <protection/>
    </xf>
    <xf numFmtId="37" fontId="6" fillId="0" borderId="0" xfId="204" applyNumberFormat="1" applyFont="1" applyFill="1" applyBorder="1" applyAlignment="1">
      <alignment horizontal="right"/>
    </xf>
    <xf numFmtId="174" fontId="6" fillId="0" borderId="0" xfId="167" applyNumberFormat="1" applyFont="1" applyBorder="1">
      <alignment/>
      <protection/>
    </xf>
    <xf numFmtId="174" fontId="6" fillId="0" borderId="0" xfId="167" applyNumberFormat="1" applyFont="1">
      <alignment/>
      <protection/>
    </xf>
    <xf numFmtId="174" fontId="6" fillId="0" borderId="29" xfId="167" applyNumberFormat="1" applyFont="1" applyBorder="1">
      <alignment/>
      <protection/>
    </xf>
    <xf numFmtId="174" fontId="6" fillId="0" borderId="28" xfId="167" applyNumberFormat="1" applyFont="1" applyBorder="1">
      <alignment/>
      <protection/>
    </xf>
    <xf numFmtId="174" fontId="6" fillId="0" borderId="0" xfId="104" applyNumberFormat="1" applyFont="1" applyFill="1" applyBorder="1" applyAlignment="1">
      <alignment/>
    </xf>
    <xf numFmtId="37" fontId="6" fillId="0" borderId="27" xfId="104" applyNumberFormat="1" applyFont="1" applyFill="1" applyBorder="1" applyAlignment="1">
      <alignment horizontal="right"/>
    </xf>
    <xf numFmtId="174" fontId="6" fillId="0" borderId="30" xfId="104" applyNumberFormat="1" applyFont="1" applyFill="1" applyBorder="1" applyAlignment="1">
      <alignment/>
    </xf>
    <xf numFmtId="173" fontId="6" fillId="0" borderId="32" xfId="204" applyNumberFormat="1" applyFont="1" applyFill="1" applyBorder="1" applyAlignment="1">
      <alignment horizontal="right"/>
    </xf>
    <xf numFmtId="37" fontId="6" fillId="0" borderId="32" xfId="104" applyNumberFormat="1" applyFont="1" applyFill="1" applyBorder="1" applyAlignment="1">
      <alignment/>
    </xf>
    <xf numFmtId="37" fontId="6" fillId="0" borderId="31" xfId="104" applyNumberFormat="1" applyFont="1" applyFill="1" applyBorder="1" applyAlignment="1">
      <alignment/>
    </xf>
    <xf numFmtId="37" fontId="6" fillId="0" borderId="30" xfId="104" applyNumberFormat="1" applyFont="1" applyFill="1" applyBorder="1" applyAlignment="1">
      <alignment/>
    </xf>
    <xf numFmtId="174" fontId="6" fillId="0" borderId="31" xfId="104" applyNumberFormat="1" applyFont="1" applyFill="1" applyBorder="1" applyAlignment="1">
      <alignment/>
    </xf>
    <xf numFmtId="37" fontId="6" fillId="0" borderId="33" xfId="104" applyNumberFormat="1" applyFont="1" applyFill="1" applyBorder="1" applyAlignment="1">
      <alignment horizontal="right"/>
    </xf>
    <xf numFmtId="174" fontId="6" fillId="0" borderId="33" xfId="104" applyNumberFormat="1" applyFont="1" applyFill="1" applyBorder="1" applyAlignment="1">
      <alignment/>
    </xf>
    <xf numFmtId="37" fontId="6" fillId="0" borderId="21" xfId="204" applyNumberFormat="1" applyFont="1" applyFill="1" applyBorder="1" applyAlignment="1">
      <alignment horizontal="right"/>
    </xf>
    <xf numFmtId="37" fontId="6" fillId="0" borderId="22" xfId="104" applyNumberFormat="1" applyFont="1" applyFill="1" applyBorder="1" applyAlignment="1">
      <alignment/>
    </xf>
    <xf numFmtId="37" fontId="6" fillId="0" borderId="0" xfId="104" applyNumberFormat="1" applyFont="1" applyFill="1" applyBorder="1" applyAlignment="1">
      <alignment/>
    </xf>
    <xf numFmtId="37" fontId="6" fillId="0" borderId="28" xfId="104" applyNumberFormat="1" applyFont="1" applyFill="1" applyBorder="1" applyAlignment="1">
      <alignment/>
    </xf>
    <xf numFmtId="0" fontId="6" fillId="0" borderId="27" xfId="167" applyFont="1" applyBorder="1" applyAlignment="1">
      <alignment horizontal="right"/>
      <protection/>
    </xf>
    <xf numFmtId="174" fontId="6" fillId="0" borderId="27" xfId="104" applyNumberFormat="1" applyFont="1" applyFill="1" applyBorder="1" applyAlignment="1">
      <alignment/>
    </xf>
    <xf numFmtId="37" fontId="6" fillId="0" borderId="27" xfId="167" applyNumberFormat="1" applyFont="1" applyBorder="1" applyAlignment="1">
      <alignment horizontal="right"/>
      <protection/>
    </xf>
    <xf numFmtId="174" fontId="6" fillId="0" borderId="27" xfId="104" applyNumberFormat="1" applyFont="1" applyFill="1" applyBorder="1" applyAlignment="1">
      <alignment/>
    </xf>
    <xf numFmtId="37" fontId="6" fillId="0" borderId="29" xfId="104" applyNumberFormat="1" applyFont="1" applyFill="1" applyBorder="1" applyAlignment="1">
      <alignment horizontal="right"/>
    </xf>
    <xf numFmtId="174" fontId="6" fillId="0" borderId="23" xfId="104" applyNumberFormat="1" applyFont="1" applyFill="1" applyBorder="1" applyAlignment="1">
      <alignment/>
    </xf>
    <xf numFmtId="173" fontId="6" fillId="0" borderId="19" xfId="204" applyNumberFormat="1" applyFont="1" applyFill="1" applyBorder="1" applyAlignment="1">
      <alignment horizontal="right"/>
    </xf>
    <xf numFmtId="37" fontId="6" fillId="0" borderId="24" xfId="204" applyNumberFormat="1" applyFont="1" applyFill="1" applyBorder="1" applyAlignment="1">
      <alignment horizontal="right"/>
    </xf>
    <xf numFmtId="37" fontId="6" fillId="0" borderId="19" xfId="104" applyNumberFormat="1" applyFont="1" applyFill="1" applyBorder="1" applyAlignment="1">
      <alignment/>
    </xf>
    <xf numFmtId="174" fontId="6" fillId="0" borderId="24" xfId="104" applyNumberFormat="1" applyFont="1" applyFill="1" applyBorder="1" applyAlignment="1">
      <alignment/>
    </xf>
    <xf numFmtId="37" fontId="6" fillId="0" borderId="26" xfId="167" applyNumberFormat="1" applyFont="1" applyBorder="1" applyAlignment="1">
      <alignment horizontal="right"/>
      <protection/>
    </xf>
    <xf numFmtId="174" fontId="6" fillId="0" borderId="26" xfId="104" applyNumberFormat="1" applyFont="1" applyFill="1" applyBorder="1" applyAlignment="1">
      <alignment/>
    </xf>
    <xf numFmtId="174" fontId="6" fillId="0" borderId="0" xfId="104" applyNumberFormat="1" applyFont="1" applyFill="1" applyBorder="1" applyAlignment="1">
      <alignment/>
    </xf>
    <xf numFmtId="174" fontId="6" fillId="0" borderId="29" xfId="104" applyNumberFormat="1" applyFont="1" applyFill="1" applyBorder="1" applyAlignment="1">
      <alignment/>
    </xf>
    <xf numFmtId="37" fontId="6" fillId="0" borderId="0" xfId="104" applyNumberFormat="1" applyFont="1" applyFill="1" applyBorder="1" applyAlignment="1">
      <alignment horizontal="right"/>
    </xf>
    <xf numFmtId="174" fontId="6" fillId="0" borderId="0" xfId="104" applyNumberFormat="1" applyFont="1" applyFill="1" applyBorder="1" applyAlignment="1">
      <alignment horizontal="right"/>
    </xf>
    <xf numFmtId="0" fontId="6" fillId="0" borderId="0" xfId="167" applyFont="1" applyBorder="1" applyAlignment="1">
      <alignment horizontal="right"/>
      <protection/>
    </xf>
    <xf numFmtId="173" fontId="6" fillId="0" borderId="29" xfId="204" applyNumberFormat="1" applyFont="1" applyFill="1" applyBorder="1" applyAlignment="1">
      <alignment/>
    </xf>
    <xf numFmtId="174" fontId="6" fillId="0" borderId="29" xfId="104" applyNumberFormat="1" applyFont="1" applyFill="1" applyBorder="1" applyAlignment="1">
      <alignment horizontal="right"/>
    </xf>
    <xf numFmtId="43" fontId="6" fillId="0" borderId="0" xfId="104" applyFont="1" applyFill="1" applyBorder="1" applyAlignment="1">
      <alignment horizontal="right"/>
    </xf>
    <xf numFmtId="43" fontId="6" fillId="0" borderId="29" xfId="104" applyFont="1" applyFill="1" applyBorder="1" applyAlignment="1">
      <alignment horizontal="right"/>
    </xf>
    <xf numFmtId="43" fontId="6" fillId="0" borderId="29" xfId="104" applyFont="1" applyFill="1" applyBorder="1" applyAlignment="1">
      <alignment/>
    </xf>
    <xf numFmtId="43" fontId="6" fillId="0" borderId="0" xfId="104" applyFont="1" applyBorder="1" applyAlignment="1">
      <alignment/>
    </xf>
    <xf numFmtId="43" fontId="6" fillId="0" borderId="28" xfId="104" applyFont="1" applyBorder="1" applyAlignment="1">
      <alignment/>
    </xf>
    <xf numFmtId="43" fontId="6" fillId="0" borderId="29" xfId="104" applyFont="1" applyBorder="1" applyAlignment="1">
      <alignment/>
    </xf>
    <xf numFmtId="43" fontId="6" fillId="0" borderId="27" xfId="104" applyFont="1" applyBorder="1" applyAlignment="1">
      <alignment/>
    </xf>
    <xf numFmtId="174" fontId="6" fillId="0" borderId="0" xfId="204" applyNumberFormat="1" applyFont="1" applyFill="1" applyBorder="1" applyAlignment="1">
      <alignment horizontal="right"/>
    </xf>
    <xf numFmtId="187" fontId="6" fillId="0" borderId="0" xfId="104" applyNumberFormat="1" applyFont="1" applyFill="1" applyBorder="1" applyAlignment="1">
      <alignment/>
    </xf>
    <xf numFmtId="43" fontId="6" fillId="0" borderId="27" xfId="104" applyFont="1" applyBorder="1" applyAlignment="1">
      <alignment horizontal="right"/>
    </xf>
    <xf numFmtId="43" fontId="6" fillId="0" borderId="27" xfId="104" applyFont="1" applyFill="1" applyBorder="1" applyAlignment="1">
      <alignment/>
    </xf>
    <xf numFmtId="174" fontId="6" fillId="0" borderId="0" xfId="167" applyNumberFormat="1" applyFont="1" applyBorder="1" applyAlignment="1">
      <alignment horizontal="right"/>
      <protection/>
    </xf>
    <xf numFmtId="174" fontId="6" fillId="0" borderId="29" xfId="167" applyNumberFormat="1" applyFont="1" applyBorder="1" applyAlignment="1">
      <alignment horizontal="right"/>
      <protection/>
    </xf>
    <xf numFmtId="174" fontId="6" fillId="0" borderId="28" xfId="167" applyNumberFormat="1" applyFont="1" applyBorder="1" applyAlignment="1">
      <alignment horizontal="right"/>
      <protection/>
    </xf>
    <xf numFmtId="174" fontId="6" fillId="0" borderId="27" xfId="167" applyNumberFormat="1" applyFont="1" applyBorder="1" applyAlignment="1">
      <alignment horizontal="right"/>
      <protection/>
    </xf>
    <xf numFmtId="0" fontId="6" fillId="0" borderId="0" xfId="167" applyFont="1" applyFill="1">
      <alignment/>
      <protection/>
    </xf>
    <xf numFmtId="43" fontId="6" fillId="0" borderId="24" xfId="104" applyFont="1" applyFill="1" applyBorder="1" applyAlignment="1">
      <alignment horizontal="right"/>
    </xf>
    <xf numFmtId="43" fontId="6" fillId="0" borderId="19" xfId="104" applyFont="1" applyFill="1" applyBorder="1" applyAlignment="1">
      <alignment horizontal="right"/>
    </xf>
    <xf numFmtId="174" fontId="6" fillId="0" borderId="23" xfId="167" applyNumberFormat="1" applyFont="1" applyBorder="1" applyAlignment="1">
      <alignment horizontal="right"/>
      <protection/>
    </xf>
    <xf numFmtId="43" fontId="6" fillId="0" borderId="26" xfId="104" applyFont="1" applyBorder="1" applyAlignment="1">
      <alignment horizontal="right"/>
    </xf>
    <xf numFmtId="173" fontId="6" fillId="0" borderId="22" xfId="204" applyNumberFormat="1" applyFont="1" applyFill="1" applyBorder="1" applyAlignment="1">
      <alignment/>
    </xf>
    <xf numFmtId="37" fontId="6" fillId="0" borderId="21" xfId="104" applyNumberFormat="1" applyFont="1" applyFill="1" applyBorder="1" applyAlignment="1">
      <alignment/>
    </xf>
    <xf numFmtId="37" fontId="6" fillId="0" borderId="20" xfId="104" applyNumberFormat="1" applyFont="1" applyFill="1" applyBorder="1" applyAlignment="1">
      <alignment/>
    </xf>
    <xf numFmtId="37" fontId="6" fillId="0" borderId="21" xfId="104" applyNumberFormat="1" applyFont="1" applyFill="1" applyBorder="1" applyAlignment="1">
      <alignment/>
    </xf>
    <xf numFmtId="173" fontId="6" fillId="0" borderId="22" xfId="204" applyNumberFormat="1" applyFont="1" applyFill="1" applyBorder="1" applyAlignment="1">
      <alignment horizontal="right"/>
    </xf>
    <xf numFmtId="37" fontId="6" fillId="0" borderId="25" xfId="104" applyNumberFormat="1" applyFont="1" applyFill="1" applyBorder="1" applyAlignment="1">
      <alignment horizontal="right"/>
    </xf>
    <xf numFmtId="174" fontId="6" fillId="0" borderId="25" xfId="104" applyNumberFormat="1" applyFont="1" applyFill="1" applyBorder="1" applyAlignment="1">
      <alignment/>
    </xf>
    <xf numFmtId="173" fontId="6" fillId="0" borderId="32" xfId="204" applyNumberFormat="1" applyFont="1" applyFill="1" applyBorder="1" applyAlignment="1">
      <alignment/>
    </xf>
    <xf numFmtId="37" fontId="6" fillId="0" borderId="32" xfId="104" applyNumberFormat="1" applyFont="1" applyFill="1" applyBorder="1" applyAlignment="1">
      <alignment horizontal="right"/>
    </xf>
    <xf numFmtId="37" fontId="6" fillId="0" borderId="31" xfId="104" applyNumberFormat="1" applyFont="1" applyFill="1" applyBorder="1" applyAlignment="1">
      <alignment horizontal="right"/>
    </xf>
    <xf numFmtId="174" fontId="6" fillId="0" borderId="35" xfId="104" applyNumberFormat="1" applyFont="1" applyFill="1" applyBorder="1" applyAlignment="1">
      <alignment/>
    </xf>
    <xf numFmtId="0" fontId="13" fillId="0" borderId="0" xfId="167" applyFont="1" applyBorder="1">
      <alignment/>
      <protection/>
    </xf>
    <xf numFmtId="0" fontId="13" fillId="0" borderId="0" xfId="167" applyFont="1">
      <alignment/>
      <protection/>
    </xf>
    <xf numFmtId="0" fontId="11" fillId="0" borderId="0" xfId="167" applyFont="1" applyAlignment="1">
      <alignment wrapText="1"/>
      <protection/>
    </xf>
    <xf numFmtId="0" fontId="6" fillId="0" borderId="0" xfId="167" applyFont="1" applyBorder="1" applyAlignment="1">
      <alignment wrapText="1"/>
      <protection/>
    </xf>
    <xf numFmtId="0" fontId="6" fillId="0" borderId="0" xfId="167" applyFont="1" applyBorder="1" applyAlignment="1">
      <alignment horizontal="center"/>
      <protection/>
    </xf>
    <xf numFmtId="174" fontId="6" fillId="0" borderId="27" xfId="104" applyNumberFormat="1" applyFont="1" applyFill="1" applyBorder="1" applyAlignment="1">
      <alignment horizontal="right"/>
    </xf>
    <xf numFmtId="174" fontId="6" fillId="0" borderId="34" xfId="104" applyNumberFormat="1" applyFont="1" applyFill="1" applyBorder="1" applyAlignment="1">
      <alignment/>
    </xf>
    <xf numFmtId="173" fontId="6" fillId="0" borderId="35" xfId="204" applyNumberFormat="1" applyFont="1" applyFill="1" applyBorder="1" applyAlignment="1">
      <alignment/>
    </xf>
    <xf numFmtId="37" fontId="6" fillId="0" borderId="37" xfId="104" applyNumberFormat="1" applyFont="1" applyFill="1" applyBorder="1" applyAlignment="1">
      <alignment horizontal="right"/>
    </xf>
    <xf numFmtId="37" fontId="6" fillId="0" borderId="35" xfId="104" applyNumberFormat="1" applyFont="1" applyFill="1" applyBorder="1" applyAlignment="1">
      <alignment horizontal="right"/>
    </xf>
    <xf numFmtId="37" fontId="6" fillId="0" borderId="36" xfId="104" applyNumberFormat="1" applyFont="1" applyFill="1" applyBorder="1" applyAlignment="1">
      <alignment horizontal="right"/>
    </xf>
    <xf numFmtId="174" fontId="6" fillId="0" borderId="36" xfId="104" applyNumberFormat="1" applyFont="1" applyFill="1" applyBorder="1" applyAlignment="1">
      <alignment/>
    </xf>
    <xf numFmtId="173" fontId="6" fillId="0" borderId="0" xfId="204" applyNumberFormat="1" applyFont="1" applyFill="1" applyBorder="1" applyAlignment="1">
      <alignment horizontal="right"/>
    </xf>
    <xf numFmtId="0" fontId="6" fillId="0" borderId="0" xfId="204" applyNumberFormat="1" applyFont="1" applyFill="1" applyBorder="1" applyAlignment="1">
      <alignment horizontal="right"/>
    </xf>
    <xf numFmtId="175" fontId="6" fillId="0" borderId="0" xfId="167" applyNumberFormat="1" applyFont="1" applyBorder="1">
      <alignment/>
      <protection/>
    </xf>
    <xf numFmtId="182" fontId="6" fillId="0" borderId="0" xfId="167" applyNumberFormat="1" applyFont="1" applyFill="1" applyBorder="1" applyAlignment="1">
      <alignment horizontal="right"/>
      <protection/>
    </xf>
    <xf numFmtId="173" fontId="6" fillId="0" borderId="0" xfId="167" applyNumberFormat="1" applyFont="1" applyBorder="1">
      <alignment/>
      <protection/>
    </xf>
    <xf numFmtId="173" fontId="6" fillId="0" borderId="0" xfId="167" applyNumberFormat="1" applyFont="1">
      <alignment/>
      <protection/>
    </xf>
    <xf numFmtId="173" fontId="6" fillId="0" borderId="0" xfId="167" applyNumberFormat="1" applyFont="1" applyFill="1">
      <alignment/>
      <protection/>
    </xf>
    <xf numFmtId="173" fontId="6" fillId="0" borderId="0" xfId="204" applyNumberFormat="1" applyFont="1" applyFill="1" applyBorder="1" applyAlignment="1">
      <alignment/>
    </xf>
    <xf numFmtId="173" fontId="6" fillId="0" borderId="0" xfId="204" applyNumberFormat="1" applyFont="1" applyFill="1" applyAlignment="1">
      <alignment/>
    </xf>
    <xf numFmtId="182" fontId="6" fillId="0" borderId="0" xfId="167" applyNumberFormat="1" applyFont="1" applyFill="1" applyBorder="1" applyAlignment="1">
      <alignment horizontal="center"/>
      <protection/>
    </xf>
    <xf numFmtId="173" fontId="6" fillId="0" borderId="0" xfId="167" applyNumberFormat="1" applyFont="1" applyFill="1" applyBorder="1">
      <alignment/>
      <protection/>
    </xf>
    <xf numFmtId="176" fontId="6" fillId="0" borderId="0" xfId="204" applyNumberFormat="1" applyFont="1" applyFill="1" applyAlignment="1">
      <alignment/>
    </xf>
    <xf numFmtId="0" fontId="6" fillId="0" borderId="0" xfId="167" applyFont="1" applyBorder="1" applyAlignment="1">
      <alignment/>
      <protection/>
    </xf>
    <xf numFmtId="186" fontId="6" fillId="0" borderId="0" xfId="167" applyNumberFormat="1" applyFont="1" applyFill="1">
      <alignment/>
      <protection/>
    </xf>
    <xf numFmtId="173" fontId="3" fillId="0" borderId="0" xfId="168" applyNumberFormat="1" applyFont="1" applyBorder="1">
      <alignment/>
      <protection/>
    </xf>
    <xf numFmtId="175" fontId="6" fillId="0" borderId="0" xfId="167" applyNumberFormat="1" applyFont="1" applyFill="1">
      <alignment/>
      <protection/>
    </xf>
    <xf numFmtId="173" fontId="8" fillId="0" borderId="0" xfId="167" applyNumberFormat="1" applyFont="1" applyBorder="1">
      <alignment/>
      <protection/>
    </xf>
    <xf numFmtId="0" fontId="6" fillId="0" borderId="24" xfId="167" applyFont="1" applyBorder="1">
      <alignment/>
      <protection/>
    </xf>
    <xf numFmtId="0" fontId="6" fillId="0" borderId="20" xfId="167" applyFont="1" applyBorder="1">
      <alignment/>
      <protection/>
    </xf>
    <xf numFmtId="0" fontId="6" fillId="0" borderId="25" xfId="167" applyFont="1" applyBorder="1">
      <alignment/>
      <protection/>
    </xf>
    <xf numFmtId="0" fontId="6" fillId="0" borderId="0" xfId="167" applyFont="1" applyFill="1" applyBorder="1" applyAlignment="1">
      <alignment horizontal="center"/>
      <protection/>
    </xf>
    <xf numFmtId="0" fontId="5" fillId="0" borderId="0" xfId="167" applyFont="1">
      <alignment/>
      <protection/>
    </xf>
    <xf numFmtId="174" fontId="6" fillId="0" borderId="28" xfId="167" applyNumberFormat="1" applyFont="1" applyFill="1" applyBorder="1">
      <alignment/>
      <protection/>
    </xf>
    <xf numFmtId="173" fontId="6" fillId="0" borderId="29" xfId="167" applyNumberFormat="1" applyFont="1" applyFill="1" applyBorder="1">
      <alignment/>
      <protection/>
    </xf>
    <xf numFmtId="37" fontId="6" fillId="0" borderId="0" xfId="167" applyNumberFormat="1" applyFont="1" applyFill="1" applyBorder="1">
      <alignment/>
      <protection/>
    </xf>
    <xf numFmtId="37" fontId="6" fillId="0" borderId="29" xfId="167" applyNumberFormat="1" applyFont="1" applyBorder="1">
      <alignment/>
      <protection/>
    </xf>
    <xf numFmtId="37" fontId="6" fillId="0" borderId="21" xfId="167" applyNumberFormat="1" applyFont="1" applyFill="1" applyBorder="1">
      <alignment/>
      <protection/>
    </xf>
    <xf numFmtId="173" fontId="6" fillId="0" borderId="22" xfId="167" applyNumberFormat="1" applyFont="1" applyFill="1" applyBorder="1" applyAlignment="1">
      <alignment/>
      <protection/>
    </xf>
    <xf numFmtId="37" fontId="6" fillId="0" borderId="27" xfId="167" applyNumberFormat="1" applyFont="1" applyBorder="1">
      <alignment/>
      <protection/>
    </xf>
    <xf numFmtId="37" fontId="6" fillId="0" borderId="25" xfId="104" applyNumberFormat="1" applyFont="1" applyFill="1" applyBorder="1" applyAlignment="1">
      <alignment/>
    </xf>
    <xf numFmtId="173" fontId="6" fillId="0" borderId="27" xfId="167" applyNumberFormat="1" applyFont="1" applyFill="1" applyBorder="1">
      <alignment/>
      <protection/>
    </xf>
    <xf numFmtId="37" fontId="6" fillId="0" borderId="0" xfId="104" applyNumberFormat="1" applyFont="1" applyFill="1" applyBorder="1" applyAlignment="1">
      <alignment/>
    </xf>
    <xf numFmtId="173" fontId="6" fillId="0" borderId="29" xfId="167" applyNumberFormat="1" applyFont="1" applyFill="1" applyBorder="1" applyAlignment="1">
      <alignment/>
      <protection/>
    </xf>
    <xf numFmtId="37" fontId="6" fillId="0" borderId="27" xfId="104" applyNumberFormat="1" applyFont="1" applyFill="1" applyBorder="1" applyAlignment="1">
      <alignment/>
    </xf>
    <xf numFmtId="37" fontId="6" fillId="0" borderId="23" xfId="104" applyNumberFormat="1" applyFont="1" applyFill="1" applyBorder="1" applyAlignment="1">
      <alignment/>
    </xf>
    <xf numFmtId="37" fontId="6" fillId="0" borderId="26" xfId="104" applyNumberFormat="1" applyFont="1" applyFill="1" applyBorder="1" applyAlignment="1">
      <alignment/>
    </xf>
    <xf numFmtId="174" fontId="6" fillId="0" borderId="26" xfId="104" applyNumberFormat="1" applyFont="1" applyFill="1" applyBorder="1" applyAlignment="1">
      <alignment/>
    </xf>
    <xf numFmtId="174" fontId="6" fillId="0" borderId="23" xfId="167" applyNumberFormat="1" applyFont="1" applyFill="1" applyBorder="1">
      <alignment/>
      <protection/>
    </xf>
    <xf numFmtId="173" fontId="6" fillId="0" borderId="19" xfId="167" applyNumberFormat="1" applyFont="1" applyFill="1" applyBorder="1" applyAlignment="1">
      <alignment horizontal="right"/>
      <protection/>
    </xf>
    <xf numFmtId="37" fontId="6" fillId="0" borderId="19" xfId="167" applyNumberFormat="1" applyFont="1" applyBorder="1">
      <alignment/>
      <protection/>
    </xf>
    <xf numFmtId="37" fontId="6" fillId="0" borderId="24" xfId="104" applyNumberFormat="1" applyFont="1" applyFill="1" applyBorder="1" applyAlignment="1">
      <alignment/>
    </xf>
    <xf numFmtId="37" fontId="6" fillId="0" borderId="26" xfId="167" applyNumberFormat="1" applyFont="1" applyBorder="1">
      <alignment/>
      <protection/>
    </xf>
    <xf numFmtId="174" fontId="6" fillId="0" borderId="0" xfId="167" applyNumberFormat="1" applyFont="1" applyFill="1" applyBorder="1">
      <alignment/>
      <protection/>
    </xf>
    <xf numFmtId="174" fontId="6" fillId="0" borderId="0" xfId="167" applyNumberFormat="1" applyFont="1" applyFill="1" applyBorder="1" applyAlignment="1">
      <alignment/>
      <protection/>
    </xf>
    <xf numFmtId="173" fontId="6" fillId="0" borderId="0" xfId="167" applyNumberFormat="1" applyFont="1" applyFill="1" applyBorder="1" applyAlignment="1">
      <alignment/>
      <protection/>
    </xf>
    <xf numFmtId="182" fontId="6" fillId="0" borderId="0" xfId="167" applyNumberFormat="1" applyFont="1">
      <alignment/>
      <protection/>
    </xf>
    <xf numFmtId="173" fontId="3" fillId="0" borderId="0" xfId="167" applyNumberFormat="1" applyFont="1" applyBorder="1">
      <alignment/>
      <protection/>
    </xf>
    <xf numFmtId="37" fontId="6" fillId="0" borderId="29" xfId="167" applyNumberFormat="1" applyFont="1" applyFill="1" applyBorder="1">
      <alignment/>
      <protection/>
    </xf>
    <xf numFmtId="37" fontId="6" fillId="0" borderId="28" xfId="167" applyNumberFormat="1" applyFont="1" applyFill="1" applyBorder="1">
      <alignment/>
      <protection/>
    </xf>
    <xf numFmtId="37" fontId="6" fillId="0" borderId="28" xfId="167" applyNumberFormat="1" applyFont="1" applyBorder="1">
      <alignment/>
      <protection/>
    </xf>
    <xf numFmtId="37" fontId="6" fillId="0" borderId="22" xfId="167" applyNumberFormat="1" applyFont="1" applyFill="1" applyBorder="1">
      <alignment/>
      <protection/>
    </xf>
    <xf numFmtId="187" fontId="6" fillId="0" borderId="21" xfId="104" applyNumberFormat="1" applyFont="1" applyFill="1" applyBorder="1" applyAlignment="1">
      <alignment/>
    </xf>
    <xf numFmtId="187" fontId="6" fillId="0" borderId="0" xfId="104" applyNumberFormat="1" applyFont="1" applyBorder="1" applyAlignment="1">
      <alignment/>
    </xf>
    <xf numFmtId="187" fontId="6" fillId="0" borderId="27" xfId="104" applyNumberFormat="1" applyFont="1" applyFill="1" applyBorder="1" applyAlignment="1">
      <alignment/>
    </xf>
    <xf numFmtId="187" fontId="6" fillId="0" borderId="0" xfId="104" applyNumberFormat="1" applyFont="1" applyFill="1" applyBorder="1" applyAlignment="1">
      <alignment/>
    </xf>
    <xf numFmtId="43" fontId="6" fillId="0" borderId="0" xfId="104" applyFont="1" applyFill="1" applyBorder="1" applyAlignment="1">
      <alignment/>
    </xf>
    <xf numFmtId="0" fontId="6" fillId="0" borderId="27" xfId="167" applyFont="1" applyFill="1" applyBorder="1" applyAlignment="1">
      <alignment/>
      <protection/>
    </xf>
    <xf numFmtId="37" fontId="6" fillId="0" borderId="19" xfId="167" applyNumberFormat="1" applyFont="1" applyFill="1" applyBorder="1">
      <alignment/>
      <protection/>
    </xf>
    <xf numFmtId="187" fontId="6" fillId="0" borderId="24" xfId="104" applyNumberFormat="1" applyFont="1" applyFill="1" applyBorder="1" applyAlignment="1">
      <alignment/>
    </xf>
    <xf numFmtId="43" fontId="6" fillId="0" borderId="24" xfId="104" applyFont="1" applyFill="1" applyBorder="1" applyAlignment="1">
      <alignment/>
    </xf>
    <xf numFmtId="43" fontId="6" fillId="0" borderId="19" xfId="104" applyFont="1" applyFill="1" applyBorder="1" applyAlignment="1">
      <alignment/>
    </xf>
    <xf numFmtId="174" fontId="6" fillId="0" borderId="30" xfId="167" applyNumberFormat="1" applyFont="1" applyFill="1" applyBorder="1">
      <alignment/>
      <protection/>
    </xf>
    <xf numFmtId="173" fontId="6" fillId="0" borderId="32" xfId="167" applyNumberFormat="1" applyFont="1" applyFill="1" applyBorder="1">
      <alignment/>
      <protection/>
    </xf>
    <xf numFmtId="37" fontId="6" fillId="0" borderId="31" xfId="167" applyNumberFormat="1" applyFont="1" applyBorder="1">
      <alignment/>
      <protection/>
    </xf>
    <xf numFmtId="37" fontId="6" fillId="0" borderId="32" xfId="167" applyNumberFormat="1" applyFont="1" applyBorder="1">
      <alignment/>
      <protection/>
    </xf>
    <xf numFmtId="37" fontId="6" fillId="0" borderId="30" xfId="167" applyNumberFormat="1" applyFont="1" applyBorder="1">
      <alignment/>
      <protection/>
    </xf>
    <xf numFmtId="187" fontId="6" fillId="0" borderId="31" xfId="104" applyNumberFormat="1" applyFont="1" applyBorder="1" applyAlignment="1">
      <alignment/>
    </xf>
    <xf numFmtId="173" fontId="6" fillId="0" borderId="32" xfId="167" applyNumberFormat="1" applyFont="1" applyFill="1" applyBorder="1" applyAlignment="1">
      <alignment/>
      <protection/>
    </xf>
    <xf numFmtId="174" fontId="6" fillId="0" borderId="33" xfId="167" applyNumberFormat="1" applyFont="1" applyBorder="1">
      <alignment/>
      <protection/>
    </xf>
    <xf numFmtId="174" fontId="6" fillId="0" borderId="32" xfId="167" applyNumberFormat="1" applyFont="1" applyBorder="1">
      <alignment/>
      <protection/>
    </xf>
    <xf numFmtId="173" fontId="6" fillId="0" borderId="19" xfId="167" applyNumberFormat="1" applyFont="1" applyFill="1" applyBorder="1">
      <alignment/>
      <protection/>
    </xf>
    <xf numFmtId="37" fontId="6" fillId="0" borderId="0" xfId="167" applyNumberFormat="1" applyFont="1" applyBorder="1">
      <alignment/>
      <protection/>
    </xf>
    <xf numFmtId="37" fontId="6" fillId="0" borderId="24" xfId="167" applyNumberFormat="1" applyFont="1" applyBorder="1">
      <alignment/>
      <protection/>
    </xf>
    <xf numFmtId="37" fontId="6" fillId="0" borderId="23" xfId="167" applyNumberFormat="1" applyFont="1" applyBorder="1">
      <alignment/>
      <protection/>
    </xf>
    <xf numFmtId="187" fontId="6" fillId="0" borderId="24" xfId="104" applyNumberFormat="1" applyFont="1" applyBorder="1" applyAlignment="1">
      <alignment/>
    </xf>
    <xf numFmtId="173" fontId="6" fillId="0" borderId="19" xfId="167" applyNumberFormat="1" applyFont="1" applyFill="1" applyBorder="1" applyAlignment="1">
      <alignment/>
      <protection/>
    </xf>
    <xf numFmtId="174" fontId="6" fillId="0" borderId="26" xfId="167" applyNumberFormat="1" applyFont="1" applyBorder="1">
      <alignment/>
      <protection/>
    </xf>
    <xf numFmtId="174" fontId="6" fillId="0" borderId="19" xfId="167" applyNumberFormat="1" applyFont="1" applyBorder="1">
      <alignment/>
      <protection/>
    </xf>
    <xf numFmtId="174" fontId="6" fillId="0" borderId="23" xfId="185" applyNumberFormat="1" applyFont="1" applyFill="1" applyBorder="1">
      <alignment/>
      <protection/>
    </xf>
    <xf numFmtId="173" fontId="6" fillId="0" borderId="19" xfId="185" applyNumberFormat="1" applyFont="1" applyFill="1" applyBorder="1">
      <alignment/>
      <protection/>
    </xf>
    <xf numFmtId="189" fontId="0" fillId="0" borderId="27" xfId="185" applyNumberFormat="1" applyBorder="1">
      <alignment/>
      <protection/>
    </xf>
    <xf numFmtId="174" fontId="6" fillId="0" borderId="31" xfId="185" applyNumberFormat="1" applyFont="1" applyBorder="1">
      <alignment/>
      <protection/>
    </xf>
    <xf numFmtId="174" fontId="6" fillId="0" borderId="19" xfId="185" applyNumberFormat="1" applyFont="1" applyBorder="1">
      <alignment/>
      <protection/>
    </xf>
    <xf numFmtId="37" fontId="6" fillId="0" borderId="23" xfId="185" applyNumberFormat="1" applyFont="1" applyBorder="1">
      <alignment/>
      <protection/>
    </xf>
    <xf numFmtId="37" fontId="6" fillId="0" borderId="24" xfId="185" applyNumberFormat="1" applyFont="1" applyBorder="1">
      <alignment/>
      <protection/>
    </xf>
    <xf numFmtId="37" fontId="6" fillId="0" borderId="19" xfId="185" applyNumberFormat="1" applyFont="1" applyBorder="1">
      <alignment/>
      <protection/>
    </xf>
    <xf numFmtId="37" fontId="6" fillId="0" borderId="23" xfId="185" applyNumberFormat="1" applyFont="1" applyBorder="1" applyAlignment="1">
      <alignment horizontal="center"/>
      <protection/>
    </xf>
    <xf numFmtId="37" fontId="6" fillId="0" borderId="24" xfId="185" applyNumberFormat="1" applyFont="1" applyBorder="1" applyAlignment="1">
      <alignment horizontal="center"/>
      <protection/>
    </xf>
    <xf numFmtId="37" fontId="6" fillId="0" borderId="19" xfId="185" applyNumberFormat="1" applyFont="1" applyBorder="1" applyAlignment="1">
      <alignment horizontal="center"/>
      <protection/>
    </xf>
    <xf numFmtId="37" fontId="6" fillId="0" borderId="0" xfId="185" applyNumberFormat="1" applyFont="1" applyBorder="1" applyAlignment="1">
      <alignment horizontal="center"/>
      <protection/>
    </xf>
    <xf numFmtId="189" fontId="0" fillId="0" borderId="0" xfId="185" applyNumberFormat="1" applyFill="1" applyBorder="1" applyAlignment="1">
      <alignment horizontal="center"/>
      <protection/>
    </xf>
    <xf numFmtId="189" fontId="0" fillId="0" borderId="27" xfId="185" applyNumberFormat="1" applyBorder="1" applyAlignment="1">
      <alignment horizontal="center"/>
      <protection/>
    </xf>
    <xf numFmtId="173" fontId="6" fillId="0" borderId="19" xfId="185" applyNumberFormat="1" applyFont="1" applyFill="1" applyBorder="1" applyAlignment="1">
      <alignment horizontal="right"/>
      <protection/>
    </xf>
    <xf numFmtId="189" fontId="0" fillId="0" borderId="0" xfId="185" applyNumberFormat="1" applyAlignment="1">
      <alignment horizontal="center"/>
      <protection/>
    </xf>
    <xf numFmtId="37" fontId="6" fillId="0" borderId="26" xfId="185" applyNumberFormat="1" applyFont="1" applyBorder="1" applyAlignment="1">
      <alignment horizontal="center"/>
      <protection/>
    </xf>
    <xf numFmtId="174" fontId="6" fillId="0" borderId="0" xfId="185" applyNumberFormat="1" applyFont="1" applyBorder="1">
      <alignment/>
      <protection/>
    </xf>
    <xf numFmtId="173" fontId="6" fillId="0" borderId="0" xfId="185" applyNumberFormat="1" applyFont="1">
      <alignment/>
      <protection/>
    </xf>
    <xf numFmtId="189" fontId="0" fillId="0" borderId="0" xfId="185" applyNumberFormat="1">
      <alignment/>
      <protection/>
    </xf>
    <xf numFmtId="174" fontId="0" fillId="0" borderId="0" xfId="167" applyNumberFormat="1" applyBorder="1">
      <alignment/>
      <protection/>
    </xf>
    <xf numFmtId="37" fontId="0" fillId="0" borderId="0" xfId="167" applyNumberFormat="1" applyBorder="1" applyAlignment="1">
      <alignment/>
      <protection/>
    </xf>
    <xf numFmtId="37" fontId="0" fillId="0" borderId="0" xfId="167" applyNumberFormat="1" applyFill="1" applyBorder="1">
      <alignment/>
      <protection/>
    </xf>
    <xf numFmtId="174" fontId="6" fillId="0" borderId="0" xfId="167" applyNumberFormat="1" applyFont="1" applyAlignment="1">
      <alignment/>
      <protection/>
    </xf>
    <xf numFmtId="175" fontId="6" fillId="0" borderId="0" xfId="104" applyNumberFormat="1" applyFont="1" applyFill="1" applyBorder="1" applyAlignment="1">
      <alignment/>
    </xf>
    <xf numFmtId="175" fontId="0" fillId="0" borderId="0" xfId="167" applyNumberFormat="1" applyFill="1" applyBorder="1">
      <alignment/>
      <protection/>
    </xf>
    <xf numFmtId="3" fontId="0" fillId="0" borderId="0" xfId="167" applyNumberFormat="1" applyBorder="1">
      <alignment/>
      <protection/>
    </xf>
    <xf numFmtId="175" fontId="6" fillId="0" borderId="0" xfId="167" applyNumberFormat="1" applyFont="1" applyFill="1" applyBorder="1">
      <alignment/>
      <protection/>
    </xf>
    <xf numFmtId="39" fontId="6" fillId="0" borderId="0" xfId="167" applyNumberFormat="1" applyFont="1" applyFill="1" applyBorder="1">
      <alignment/>
      <protection/>
    </xf>
    <xf numFmtId="180" fontId="6" fillId="0" borderId="0" xfId="167" applyNumberFormat="1" applyFont="1" applyFill="1" applyBorder="1" applyAlignment="1">
      <alignment horizontal="right"/>
      <protection/>
    </xf>
    <xf numFmtId="177" fontId="6" fillId="0" borderId="0" xfId="167" applyNumberFormat="1" applyFont="1" applyFill="1" applyBorder="1">
      <alignment/>
      <protection/>
    </xf>
    <xf numFmtId="175" fontId="6" fillId="0" borderId="0" xfId="167" applyNumberFormat="1" applyFont="1" applyFill="1" applyBorder="1" applyAlignment="1">
      <alignment horizontal="right"/>
      <protection/>
    </xf>
    <xf numFmtId="176" fontId="6" fillId="0" borderId="0" xfId="204" applyNumberFormat="1" applyFont="1" applyFill="1" applyBorder="1" applyAlignment="1">
      <alignment/>
    </xf>
    <xf numFmtId="178" fontId="6" fillId="0" borderId="0" xfId="167" applyNumberFormat="1" applyFont="1" applyFill="1" applyBorder="1">
      <alignment/>
      <protection/>
    </xf>
    <xf numFmtId="189" fontId="3" fillId="0" borderId="0" xfId="168" applyFont="1">
      <alignment/>
      <protection/>
    </xf>
    <xf numFmtId="37" fontId="6" fillId="0" borderId="28" xfId="168" applyNumberFormat="1" applyFont="1" applyBorder="1" applyAlignment="1">
      <alignment horizontal="right"/>
      <protection/>
    </xf>
    <xf numFmtId="37" fontId="6" fillId="0" borderId="29" xfId="204" applyNumberFormat="1" applyFont="1" applyFill="1" applyBorder="1" applyAlignment="1">
      <alignment horizontal="right"/>
    </xf>
    <xf numFmtId="172" fontId="6" fillId="0" borderId="0" xfId="204" applyNumberFormat="1" applyFont="1" applyFill="1" applyBorder="1" applyAlignment="1">
      <alignment horizontal="right"/>
    </xf>
    <xf numFmtId="185" fontId="6" fillId="0" borderId="0" xfId="104" applyNumberFormat="1" applyFont="1" applyFill="1" applyBorder="1" applyAlignment="1">
      <alignment/>
    </xf>
    <xf numFmtId="174" fontId="6" fillId="0" borderId="27" xfId="96" applyNumberFormat="1" applyFont="1" applyBorder="1" applyAlignment="1">
      <alignment horizontal="right"/>
    </xf>
    <xf numFmtId="174" fontId="6" fillId="0" borderId="27" xfId="104" applyNumberFormat="1" applyFont="1" applyBorder="1" applyAlignment="1">
      <alignment horizontal="right"/>
    </xf>
    <xf numFmtId="174" fontId="6" fillId="0" borderId="27" xfId="167" applyNumberFormat="1" applyFont="1" applyBorder="1">
      <alignment/>
      <protection/>
    </xf>
    <xf numFmtId="174" fontId="6" fillId="0" borderId="27" xfId="167" applyNumberFormat="1" applyFont="1" applyFill="1" applyBorder="1" applyAlignment="1">
      <alignment horizontal="right"/>
      <protection/>
    </xf>
    <xf numFmtId="174" fontId="6" fillId="0" borderId="26" xfId="104" applyNumberFormat="1" applyFont="1" applyBorder="1" applyAlignment="1">
      <alignment horizontal="right"/>
    </xf>
    <xf numFmtId="0" fontId="6" fillId="0" borderId="22" xfId="167" applyFont="1" applyBorder="1">
      <alignment/>
      <protection/>
    </xf>
    <xf numFmtId="0" fontId="6" fillId="0" borderId="27" xfId="167" applyFont="1" applyFill="1" applyBorder="1" applyAlignment="1">
      <alignment horizontal="center"/>
      <protection/>
    </xf>
    <xf numFmtId="173" fontId="6" fillId="0" borderId="29" xfId="167" applyNumberFormat="1" applyFont="1" applyFill="1" applyBorder="1" applyAlignment="1">
      <alignment horizontal="right"/>
      <protection/>
    </xf>
    <xf numFmtId="174" fontId="6" fillId="0" borderId="0" xfId="167" applyNumberFormat="1" applyFont="1" applyFill="1">
      <alignment/>
      <protection/>
    </xf>
    <xf numFmtId="174" fontId="6" fillId="0" borderId="29" xfId="167" applyNumberFormat="1" applyFont="1" applyFill="1" applyBorder="1">
      <alignment/>
      <protection/>
    </xf>
    <xf numFmtId="0" fontId="6" fillId="0" borderId="27" xfId="167" applyFont="1" applyFill="1" applyBorder="1">
      <alignment/>
      <protection/>
    </xf>
    <xf numFmtId="37" fontId="6" fillId="0" borderId="27" xfId="167" applyNumberFormat="1" applyFont="1" applyFill="1" applyBorder="1">
      <alignment/>
      <protection/>
    </xf>
    <xf numFmtId="37" fontId="6" fillId="0" borderId="28" xfId="168" applyNumberFormat="1" applyFont="1" applyFill="1" applyBorder="1" applyAlignment="1">
      <alignment horizontal="right"/>
      <protection/>
    </xf>
    <xf numFmtId="0" fontId="6" fillId="0" borderId="27" xfId="167" applyFont="1" applyFill="1" applyBorder="1" applyAlignment="1">
      <alignment horizontal="right"/>
      <protection/>
    </xf>
    <xf numFmtId="37" fontId="6" fillId="0" borderId="26" xfId="167" applyNumberFormat="1" applyFont="1" applyFill="1" applyBorder="1">
      <alignment/>
      <protection/>
    </xf>
    <xf numFmtId="187" fontId="6" fillId="0" borderId="23" xfId="96" applyNumberFormat="1" applyFont="1" applyFill="1" applyBorder="1" applyAlignment="1">
      <alignment horizontal="right"/>
    </xf>
    <xf numFmtId="187" fontId="6" fillId="0" borderId="26" xfId="96" applyNumberFormat="1" applyFont="1" applyFill="1" applyBorder="1" applyAlignment="1">
      <alignment horizontal="right"/>
    </xf>
    <xf numFmtId="0" fontId="6" fillId="0" borderId="0" xfId="167" applyFont="1" applyFill="1" applyBorder="1" applyAlignment="1">
      <alignment horizontal="right"/>
      <protection/>
    </xf>
    <xf numFmtId="174" fontId="6" fillId="0" borderId="0" xfId="167" applyNumberFormat="1" applyFont="1" applyFill="1" applyBorder="1" applyAlignment="1">
      <alignment horizontal="right"/>
      <protection/>
    </xf>
    <xf numFmtId="174" fontId="6" fillId="0" borderId="23" xfId="167" applyNumberFormat="1" applyFont="1" applyFill="1" applyBorder="1" applyAlignment="1">
      <alignment horizontal="right"/>
      <protection/>
    </xf>
    <xf numFmtId="174" fontId="6" fillId="0" borderId="28" xfId="167" applyNumberFormat="1" applyFont="1" applyFill="1" applyBorder="1" applyAlignment="1">
      <alignment horizontal="right"/>
      <protection/>
    </xf>
    <xf numFmtId="174" fontId="6" fillId="0" borderId="29" xfId="167" applyNumberFormat="1" applyFont="1" applyFill="1" applyBorder="1" applyAlignment="1">
      <alignment horizontal="right"/>
      <protection/>
    </xf>
    <xf numFmtId="174" fontId="6" fillId="0" borderId="27" xfId="167" applyNumberFormat="1" applyFont="1" applyFill="1" applyBorder="1">
      <alignment/>
      <protection/>
    </xf>
    <xf numFmtId="172" fontId="6" fillId="0" borderId="0" xfId="104" applyNumberFormat="1" applyFont="1" applyFill="1" applyBorder="1" applyAlignment="1">
      <alignment horizontal="right"/>
    </xf>
    <xf numFmtId="43" fontId="6" fillId="0" borderId="28" xfId="104" applyFont="1" applyFill="1" applyBorder="1" applyAlignment="1">
      <alignment/>
    </xf>
    <xf numFmtId="185" fontId="6" fillId="0" borderId="0" xfId="104" applyNumberFormat="1" applyFont="1" applyFill="1" applyBorder="1" applyAlignment="1">
      <alignment horizontal="right"/>
    </xf>
    <xf numFmtId="43" fontId="6" fillId="0" borderId="0" xfId="104" applyFont="1" applyFill="1" applyAlignment="1">
      <alignment/>
    </xf>
    <xf numFmtId="173" fontId="6" fillId="0" borderId="35" xfId="204" applyNumberFormat="1" applyFont="1" applyFill="1" applyBorder="1" applyAlignment="1">
      <alignment horizontal="right"/>
    </xf>
    <xf numFmtId="189" fontId="6" fillId="0" borderId="0" xfId="162" applyNumberFormat="1" applyFont="1" applyFill="1" applyBorder="1">
      <alignment/>
      <protection/>
    </xf>
    <xf numFmtId="189" fontId="0" fillId="0" borderId="27" xfId="162" applyNumberFormat="1" applyBorder="1">
      <alignment/>
      <protection/>
    </xf>
    <xf numFmtId="174" fontId="6" fillId="0" borderId="31" xfId="162" applyNumberFormat="1" applyFont="1" applyBorder="1">
      <alignment/>
      <protection/>
    </xf>
    <xf numFmtId="174" fontId="6" fillId="0" borderId="19" xfId="162" applyNumberFormat="1" applyFont="1" applyBorder="1">
      <alignment/>
      <protection/>
    </xf>
    <xf numFmtId="174" fontId="6" fillId="0" borderId="23" xfId="162" applyNumberFormat="1" applyFont="1" applyBorder="1">
      <alignment/>
      <protection/>
    </xf>
    <xf numFmtId="174" fontId="6" fillId="0" borderId="24" xfId="162" applyNumberFormat="1" applyFont="1" applyBorder="1">
      <alignment/>
      <protection/>
    </xf>
    <xf numFmtId="174" fontId="6" fillId="0" borderId="23" xfId="162" applyNumberFormat="1" applyFont="1" applyBorder="1" applyAlignment="1">
      <alignment horizontal="center"/>
      <protection/>
    </xf>
    <xf numFmtId="174" fontId="6" fillId="0" borderId="24" xfId="162" applyNumberFormat="1" applyFont="1" applyBorder="1" applyAlignment="1">
      <alignment horizontal="center"/>
      <protection/>
    </xf>
    <xf numFmtId="174" fontId="6" fillId="0" borderId="19" xfId="162" applyNumberFormat="1" applyFont="1" applyBorder="1" applyAlignment="1">
      <alignment horizontal="center"/>
      <protection/>
    </xf>
    <xf numFmtId="174" fontId="6" fillId="0" borderId="0" xfId="162" applyNumberFormat="1" applyFont="1" applyBorder="1" applyAlignment="1">
      <alignment horizontal="center"/>
      <protection/>
    </xf>
    <xf numFmtId="174" fontId="0" fillId="0" borderId="0" xfId="162" applyNumberFormat="1" applyFill="1" applyBorder="1" applyAlignment="1">
      <alignment horizontal="center"/>
      <protection/>
    </xf>
    <xf numFmtId="174" fontId="0" fillId="0" borderId="27" xfId="162" applyNumberFormat="1" applyBorder="1" applyAlignment="1">
      <alignment horizontal="center"/>
      <protection/>
    </xf>
    <xf numFmtId="173" fontId="6" fillId="0" borderId="19" xfId="162" applyNumberFormat="1" applyFont="1" applyFill="1" applyBorder="1" applyAlignment="1">
      <alignment horizontal="right"/>
      <protection/>
    </xf>
    <xf numFmtId="189" fontId="0" fillId="0" borderId="0" xfId="162" applyNumberFormat="1" applyAlignment="1">
      <alignment horizontal="center"/>
      <protection/>
    </xf>
    <xf numFmtId="37" fontId="6" fillId="0" borderId="26" xfId="162" applyNumberFormat="1" applyFont="1" applyBorder="1" applyAlignment="1">
      <alignment horizontal="center"/>
      <protection/>
    </xf>
    <xf numFmtId="174" fontId="6" fillId="0" borderId="0" xfId="162" applyNumberFormat="1" applyFont="1" applyBorder="1">
      <alignment/>
      <protection/>
    </xf>
    <xf numFmtId="173" fontId="6" fillId="0" borderId="0" xfId="162" applyNumberFormat="1" applyFont="1">
      <alignment/>
      <protection/>
    </xf>
    <xf numFmtId="189" fontId="0" fillId="0" borderId="0" xfId="162" applyNumberFormat="1">
      <alignment/>
      <protection/>
    </xf>
    <xf numFmtId="174" fontId="0" fillId="0" borderId="0" xfId="167" applyNumberFormat="1">
      <alignment/>
      <protection/>
    </xf>
    <xf numFmtId="189" fontId="2" fillId="0" borderId="29" xfId="0" applyFont="1" applyFill="1" applyBorder="1" applyAlignment="1">
      <alignment horizontal="center"/>
    </xf>
    <xf numFmtId="37" fontId="6" fillId="0" borderId="25" xfId="167" applyNumberFormat="1" applyFont="1" applyFill="1" applyBorder="1">
      <alignment/>
      <protection/>
    </xf>
    <xf numFmtId="174" fontId="6" fillId="0" borderId="31" xfId="104" applyNumberFormat="1" applyFont="1" applyFill="1" applyBorder="1" applyAlignment="1">
      <alignment horizontal="right"/>
    </xf>
    <xf numFmtId="174" fontId="6" fillId="0" borderId="0" xfId="167" applyNumberFormat="1" applyFont="1" applyBorder="1" applyAlignment="1">
      <alignment horizontal="center"/>
      <protection/>
    </xf>
    <xf numFmtId="172" fontId="6" fillId="0" borderId="29" xfId="104" applyNumberFormat="1" applyFont="1" applyFill="1" applyBorder="1" applyAlignment="1">
      <alignment/>
    </xf>
    <xf numFmtId="172" fontId="6" fillId="0" borderId="0" xfId="104" applyNumberFormat="1" applyFont="1" applyFill="1" applyBorder="1" applyAlignment="1">
      <alignment/>
    </xf>
    <xf numFmtId="172" fontId="6" fillId="0" borderId="28" xfId="104" applyNumberFormat="1" applyFont="1" applyFill="1" applyBorder="1" applyAlignment="1">
      <alignment/>
    </xf>
    <xf numFmtId="172" fontId="6" fillId="0" borderId="27" xfId="167" applyNumberFormat="1" applyFont="1" applyBorder="1">
      <alignment/>
      <protection/>
    </xf>
    <xf numFmtId="172" fontId="6" fillId="0" borderId="0" xfId="104" applyNumberFormat="1" applyFont="1" applyFill="1" applyBorder="1" applyAlignment="1">
      <alignment/>
    </xf>
    <xf numFmtId="172" fontId="6" fillId="0" borderId="0" xfId="167" applyNumberFormat="1" applyFont="1">
      <alignment/>
      <protection/>
    </xf>
    <xf numFmtId="172" fontId="6" fillId="0" borderId="27" xfId="104" applyNumberFormat="1" applyFont="1" applyFill="1" applyBorder="1" applyAlignment="1">
      <alignment horizontal="right"/>
    </xf>
    <xf numFmtId="172" fontId="6" fillId="0" borderId="29" xfId="104" applyNumberFormat="1" applyFont="1" applyFill="1" applyBorder="1" applyAlignment="1">
      <alignment horizontal="right"/>
    </xf>
    <xf numFmtId="172" fontId="6" fillId="0" borderId="27" xfId="167" applyNumberFormat="1" applyFont="1" applyBorder="1" applyAlignment="1">
      <alignment horizontal="right"/>
      <protection/>
    </xf>
    <xf numFmtId="172" fontId="6" fillId="0" borderId="0" xfId="167" applyNumberFormat="1" applyFont="1" applyBorder="1" applyAlignment="1">
      <alignment horizontal="right"/>
      <protection/>
    </xf>
    <xf numFmtId="172" fontId="6" fillId="0" borderId="27" xfId="104" applyNumberFormat="1" applyFont="1" applyFill="1" applyBorder="1" applyAlignment="1">
      <alignment/>
    </xf>
    <xf numFmtId="172" fontId="6" fillId="0" borderId="0" xfId="104" applyNumberFormat="1" applyFont="1" applyBorder="1" applyAlignment="1">
      <alignment/>
    </xf>
    <xf numFmtId="172" fontId="6" fillId="0" borderId="28" xfId="104" applyNumberFormat="1" applyFont="1" applyBorder="1" applyAlignment="1">
      <alignment/>
    </xf>
    <xf numFmtId="172" fontId="6" fillId="0" borderId="29" xfId="104" applyNumberFormat="1" applyFont="1" applyBorder="1" applyAlignment="1">
      <alignment/>
    </xf>
    <xf numFmtId="172" fontId="6" fillId="0" borderId="27" xfId="104" applyNumberFormat="1" applyFont="1" applyBorder="1" applyAlignment="1">
      <alignment/>
    </xf>
    <xf numFmtId="172" fontId="6" fillId="0" borderId="0" xfId="104" applyNumberFormat="1" applyFont="1" applyAlignment="1">
      <alignment/>
    </xf>
    <xf numFmtId="172" fontId="6" fillId="0" borderId="27" xfId="96" applyNumberFormat="1" applyFont="1" applyBorder="1" applyAlignment="1">
      <alignment horizontal="right"/>
    </xf>
    <xf numFmtId="172" fontId="6" fillId="0" borderId="27" xfId="104" applyNumberFormat="1" applyFont="1" applyBorder="1" applyAlignment="1">
      <alignment horizontal="right"/>
    </xf>
    <xf numFmtId="172" fontId="6" fillId="0" borderId="29" xfId="167" applyNumberFormat="1" applyFont="1" applyBorder="1" applyAlignment="1">
      <alignment horizontal="right"/>
      <protection/>
    </xf>
    <xf numFmtId="172" fontId="6" fillId="0" borderId="0" xfId="167" applyNumberFormat="1" applyFont="1" applyBorder="1">
      <alignment/>
      <protection/>
    </xf>
    <xf numFmtId="172" fontId="6" fillId="0" borderId="28" xfId="167" applyNumberFormat="1" applyFont="1" applyBorder="1" applyAlignment="1">
      <alignment horizontal="right"/>
      <protection/>
    </xf>
    <xf numFmtId="172" fontId="6" fillId="0" borderId="28" xfId="167" applyNumberFormat="1" applyFont="1" applyBorder="1">
      <alignment/>
      <protection/>
    </xf>
    <xf numFmtId="172" fontId="6" fillId="0" borderId="29" xfId="167" applyNumberFormat="1" applyFont="1" applyBorder="1">
      <alignment/>
      <protection/>
    </xf>
    <xf numFmtId="172" fontId="6" fillId="0" borderId="0" xfId="167" applyNumberFormat="1" applyFont="1" applyBorder="1" applyAlignment="1">
      <alignment/>
      <protection/>
    </xf>
    <xf numFmtId="172" fontId="6" fillId="0" borderId="27" xfId="167" applyNumberFormat="1" applyFont="1" applyFill="1" applyBorder="1" applyAlignment="1">
      <alignment horizontal="right"/>
      <protection/>
    </xf>
    <xf numFmtId="172" fontId="6" fillId="0" borderId="24" xfId="104" applyNumberFormat="1" applyFont="1" applyFill="1" applyBorder="1" applyAlignment="1">
      <alignment horizontal="right"/>
    </xf>
    <xf numFmtId="172" fontId="6" fillId="0" borderId="19" xfId="104" applyNumberFormat="1" applyFont="1" applyFill="1" applyBorder="1" applyAlignment="1">
      <alignment horizontal="right"/>
    </xf>
    <xf numFmtId="172" fontId="6" fillId="0" borderId="23" xfId="167" applyNumberFormat="1" applyFont="1" applyBorder="1" applyAlignment="1">
      <alignment horizontal="right"/>
      <protection/>
    </xf>
    <xf numFmtId="189" fontId="0" fillId="0" borderId="0" xfId="0" applyBorder="1" applyAlignment="1">
      <alignment horizontal="left" indent="2"/>
    </xf>
    <xf numFmtId="189" fontId="0" fillId="0" borderId="28" xfId="0" applyFont="1" applyBorder="1" applyAlignment="1">
      <alignment/>
    </xf>
    <xf numFmtId="189" fontId="0" fillId="0" borderId="28" xfId="0" applyFont="1" applyBorder="1" applyAlignment="1">
      <alignment horizontal="left" indent="2"/>
    </xf>
    <xf numFmtId="37" fontId="6" fillId="0" borderId="27" xfId="104" applyNumberFormat="1" applyFont="1" applyFill="1" applyBorder="1" applyAlignment="1">
      <alignment horizontal="center"/>
    </xf>
    <xf numFmtId="187" fontId="116" fillId="0" borderId="0" xfId="96" applyNumberFormat="1" applyFont="1" applyAlignment="1">
      <alignment horizontal="right" vertical="center" wrapText="1"/>
    </xf>
    <xf numFmtId="187" fontId="116" fillId="0" borderId="0" xfId="96" applyNumberFormat="1" applyFont="1" applyBorder="1" applyAlignment="1">
      <alignment horizontal="right" vertical="center" wrapText="1"/>
    </xf>
    <xf numFmtId="37" fontId="6" fillId="0" borderId="23" xfId="204" applyNumberFormat="1" applyFont="1" applyFill="1" applyBorder="1" applyAlignment="1">
      <alignment horizontal="right"/>
    </xf>
    <xf numFmtId="172" fontId="6" fillId="0" borderId="24" xfId="104" applyNumberFormat="1" applyFont="1" applyFill="1" applyBorder="1" applyAlignment="1">
      <alignment/>
    </xf>
    <xf numFmtId="172" fontId="6" fillId="0" borderId="24" xfId="167" applyNumberFormat="1" applyFont="1" applyFill="1" applyBorder="1">
      <alignment/>
      <protection/>
    </xf>
    <xf numFmtId="172" fontId="6" fillId="0" borderId="32" xfId="104" applyNumberFormat="1" applyFont="1" applyFill="1" applyBorder="1" applyAlignment="1">
      <alignment/>
    </xf>
    <xf numFmtId="172" fontId="6" fillId="0" borderId="31" xfId="104" applyNumberFormat="1" applyFont="1" applyFill="1" applyBorder="1" applyAlignment="1">
      <alignment/>
    </xf>
    <xf numFmtId="172" fontId="6" fillId="0" borderId="30" xfId="104" applyNumberFormat="1" applyFont="1" applyFill="1" applyBorder="1" applyAlignment="1">
      <alignment/>
    </xf>
    <xf numFmtId="172" fontId="6" fillId="0" borderId="21" xfId="204" applyNumberFormat="1" applyFont="1" applyFill="1" applyBorder="1" applyAlignment="1">
      <alignment horizontal="right"/>
    </xf>
    <xf numFmtId="172" fontId="6" fillId="0" borderId="22" xfId="104" applyNumberFormat="1" applyFont="1" applyFill="1" applyBorder="1" applyAlignment="1">
      <alignment/>
    </xf>
    <xf numFmtId="172" fontId="6" fillId="0" borderId="24" xfId="204" applyNumberFormat="1" applyFont="1" applyFill="1" applyBorder="1" applyAlignment="1">
      <alignment horizontal="right"/>
    </xf>
    <xf numFmtId="172" fontId="6" fillId="0" borderId="19" xfId="104" applyNumberFormat="1" applyFont="1" applyFill="1" applyBorder="1" applyAlignment="1">
      <alignment/>
    </xf>
    <xf numFmtId="172" fontId="6" fillId="0" borderId="21" xfId="104" applyNumberFormat="1" applyFont="1" applyFill="1" applyBorder="1" applyAlignment="1">
      <alignment/>
    </xf>
    <xf numFmtId="172" fontId="6" fillId="0" borderId="20" xfId="104" applyNumberFormat="1" applyFont="1" applyFill="1" applyBorder="1" applyAlignment="1">
      <alignment/>
    </xf>
    <xf numFmtId="172" fontId="6" fillId="0" borderId="32" xfId="104" applyNumberFormat="1" applyFont="1" applyFill="1" applyBorder="1" applyAlignment="1">
      <alignment horizontal="right"/>
    </xf>
    <xf numFmtId="172" fontId="6" fillId="0" borderId="31" xfId="104" applyNumberFormat="1" applyFont="1" applyFill="1" applyBorder="1" applyAlignment="1">
      <alignment horizontal="right"/>
    </xf>
    <xf numFmtId="172" fontId="6" fillId="0" borderId="0" xfId="104" applyNumberFormat="1" applyFont="1" applyFill="1" applyBorder="1" applyAlignment="1">
      <alignment horizontal="center"/>
    </xf>
    <xf numFmtId="172" fontId="6" fillId="0" borderId="29" xfId="104" applyNumberFormat="1" applyFont="1" applyFill="1" applyBorder="1" applyAlignment="1">
      <alignment horizontal="center"/>
    </xf>
    <xf numFmtId="172" fontId="6" fillId="0" borderId="27" xfId="167" applyNumberFormat="1" applyFont="1" applyBorder="1" applyAlignment="1">
      <alignment horizontal="center"/>
      <protection/>
    </xf>
    <xf numFmtId="172" fontId="6" fillId="0" borderId="37" xfId="104" applyNumberFormat="1" applyFont="1" applyFill="1" applyBorder="1" applyAlignment="1">
      <alignment horizontal="right"/>
    </xf>
    <xf numFmtId="172" fontId="6" fillId="0" borderId="35" xfId="104" applyNumberFormat="1" applyFont="1" applyFill="1" applyBorder="1" applyAlignment="1">
      <alignment horizontal="right"/>
    </xf>
    <xf numFmtId="172" fontId="6" fillId="0" borderId="37" xfId="104" applyNumberFormat="1" applyFont="1" applyFill="1" applyBorder="1" applyAlignment="1">
      <alignment horizontal="center"/>
    </xf>
    <xf numFmtId="172" fontId="6" fillId="0" borderId="35" xfId="104" applyNumberFormat="1" applyFont="1" applyFill="1" applyBorder="1" applyAlignment="1">
      <alignment horizontal="center"/>
    </xf>
    <xf numFmtId="187" fontId="0" fillId="0" borderId="0" xfId="96" applyNumberFormat="1" applyFont="1" applyFill="1" applyBorder="1" applyAlignment="1">
      <alignment/>
    </xf>
    <xf numFmtId="189" fontId="0" fillId="0" borderId="0" xfId="0" applyFill="1" applyAlignment="1">
      <alignment horizontal="center"/>
    </xf>
    <xf numFmtId="187" fontId="6" fillId="0" borderId="31" xfId="96" applyNumberFormat="1" applyFont="1" applyFill="1" applyBorder="1" applyAlignment="1">
      <alignment/>
    </xf>
    <xf numFmtId="187" fontId="6" fillId="0" borderId="26" xfId="96" applyNumberFormat="1" applyFont="1" applyBorder="1" applyAlignment="1">
      <alignment/>
    </xf>
    <xf numFmtId="187" fontId="6" fillId="0" borderId="19" xfId="96" applyNumberFormat="1" applyFont="1" applyBorder="1" applyAlignment="1">
      <alignment/>
    </xf>
    <xf numFmtId="187" fontId="6" fillId="0" borderId="32" xfId="96" applyNumberFormat="1" applyFont="1" applyFill="1" applyBorder="1" applyAlignment="1">
      <alignment/>
    </xf>
    <xf numFmtId="187" fontId="6" fillId="0" borderId="35" xfId="96" applyNumberFormat="1" applyFont="1" applyFill="1" applyBorder="1" applyAlignment="1">
      <alignment/>
    </xf>
    <xf numFmtId="187" fontId="6" fillId="0" borderId="37" xfId="96" applyNumberFormat="1" applyFont="1" applyFill="1" applyBorder="1" applyAlignment="1">
      <alignment/>
    </xf>
    <xf numFmtId="187" fontId="6" fillId="0" borderId="37" xfId="96" applyNumberFormat="1" applyFont="1" applyBorder="1" applyAlignment="1">
      <alignment/>
    </xf>
    <xf numFmtId="187" fontId="6" fillId="0" borderId="35" xfId="96" applyNumberFormat="1" applyFont="1" applyBorder="1" applyAlignment="1">
      <alignment/>
    </xf>
    <xf numFmtId="187" fontId="6" fillId="0" borderId="36" xfId="96" applyNumberFormat="1" applyFont="1" applyBorder="1" applyAlignment="1">
      <alignment/>
    </xf>
    <xf numFmtId="187" fontId="6" fillId="0" borderId="33" xfId="96" applyNumberFormat="1" applyFont="1" applyFill="1" applyBorder="1" applyAlignment="1">
      <alignment/>
    </xf>
    <xf numFmtId="187" fontId="6" fillId="0" borderId="36" xfId="96" applyNumberFormat="1" applyFont="1" applyFill="1" applyBorder="1" applyAlignment="1">
      <alignment/>
    </xf>
    <xf numFmtId="187" fontId="6" fillId="0" borderId="30" xfId="96" applyNumberFormat="1" applyFont="1" applyFill="1" applyBorder="1" applyAlignment="1">
      <alignment/>
    </xf>
    <xf numFmtId="187" fontId="6" fillId="0" borderId="29" xfId="96" applyNumberFormat="1" applyFont="1" applyFill="1" applyBorder="1" applyAlignment="1">
      <alignment/>
    </xf>
    <xf numFmtId="187" fontId="6" fillId="0" borderId="0" xfId="96" applyNumberFormat="1" applyFont="1" applyFill="1" applyBorder="1" applyAlignment="1">
      <alignment/>
    </xf>
    <xf numFmtId="187" fontId="6" fillId="0" borderId="24" xfId="96" applyNumberFormat="1" applyFont="1" applyFill="1" applyBorder="1" applyAlignment="1">
      <alignment/>
    </xf>
    <xf numFmtId="187" fontId="6" fillId="0" borderId="0" xfId="96" applyNumberFormat="1" applyFont="1" applyBorder="1" applyAlignment="1">
      <alignment/>
    </xf>
    <xf numFmtId="187" fontId="6" fillId="0" borderId="27" xfId="96" applyNumberFormat="1" applyFont="1" applyFill="1" applyBorder="1" applyAlignment="1">
      <alignment/>
    </xf>
    <xf numFmtId="187" fontId="6" fillId="0" borderId="26" xfId="96" applyNumberFormat="1" applyFont="1" applyFill="1" applyBorder="1" applyAlignment="1">
      <alignment/>
    </xf>
    <xf numFmtId="187" fontId="6" fillId="0" borderId="35" xfId="96" applyNumberFormat="1" applyFont="1" applyFill="1" applyBorder="1" applyAlignment="1">
      <alignment horizontal="right"/>
    </xf>
    <xf numFmtId="187" fontId="6" fillId="0" borderId="34" xfId="96" applyNumberFormat="1" applyFont="1" applyFill="1" applyBorder="1" applyAlignment="1">
      <alignment horizontal="right"/>
    </xf>
    <xf numFmtId="187" fontId="6" fillId="0" borderId="31" xfId="96" applyNumberFormat="1" applyFont="1" applyFill="1" applyBorder="1" applyAlignment="1">
      <alignment horizontal="right"/>
    </xf>
    <xf numFmtId="187" fontId="6" fillId="0" borderId="30" xfId="96" applyNumberFormat="1" applyFont="1" applyFill="1" applyBorder="1" applyAlignment="1">
      <alignment horizontal="right"/>
    </xf>
    <xf numFmtId="187" fontId="6" fillId="0" borderId="36" xfId="96" applyNumberFormat="1" applyFont="1" applyFill="1" applyBorder="1" applyAlignment="1">
      <alignment horizontal="right"/>
    </xf>
    <xf numFmtId="187" fontId="6" fillId="0" borderId="28" xfId="96" applyNumberFormat="1" applyFont="1" applyBorder="1" applyAlignment="1">
      <alignment/>
    </xf>
    <xf numFmtId="187" fontId="6" fillId="0" borderId="33" xfId="96" applyNumberFormat="1" applyFont="1" applyFill="1" applyBorder="1" applyAlignment="1">
      <alignment horizontal="right"/>
    </xf>
    <xf numFmtId="187" fontId="6" fillId="0" borderId="29" xfId="96" applyNumberFormat="1" applyFont="1" applyFill="1" applyBorder="1" applyAlignment="1">
      <alignment horizontal="center"/>
    </xf>
    <xf numFmtId="187" fontId="6" fillId="0" borderId="27" xfId="96" applyNumberFormat="1" applyFont="1" applyBorder="1" applyAlignment="1">
      <alignment horizontal="center"/>
    </xf>
    <xf numFmtId="187" fontId="6" fillId="0" borderId="37" xfId="96" applyNumberFormat="1" applyFont="1" applyFill="1" applyBorder="1" applyAlignment="1">
      <alignment horizontal="center"/>
    </xf>
    <xf numFmtId="187" fontId="6" fillId="0" borderId="35" xfId="96" applyNumberFormat="1" applyFont="1" applyFill="1" applyBorder="1" applyAlignment="1">
      <alignment horizontal="center"/>
    </xf>
    <xf numFmtId="187" fontId="6" fillId="0" borderId="21" xfId="96" applyNumberFormat="1" applyFont="1" applyFill="1" applyBorder="1" applyAlignment="1">
      <alignment/>
    </xf>
    <xf numFmtId="187" fontId="6" fillId="0" borderId="28" xfId="96" applyNumberFormat="1" applyFont="1" applyFill="1" applyBorder="1" applyAlignment="1">
      <alignment/>
    </xf>
    <xf numFmtId="187" fontId="6" fillId="0" borderId="23" xfId="96" applyNumberFormat="1" applyFont="1" applyFill="1" applyBorder="1" applyAlignment="1">
      <alignment/>
    </xf>
    <xf numFmtId="187" fontId="6" fillId="0" borderId="24" xfId="96" applyNumberFormat="1" applyFont="1" applyFill="1" applyBorder="1" applyAlignment="1">
      <alignment/>
    </xf>
    <xf numFmtId="187" fontId="6" fillId="0" borderId="22" xfId="96" applyNumberFormat="1" applyFont="1" applyFill="1" applyBorder="1" applyAlignment="1">
      <alignment/>
    </xf>
    <xf numFmtId="187" fontId="11" fillId="0" borderId="0" xfId="96" applyNumberFormat="1" applyFont="1" applyFill="1" applyBorder="1" applyAlignment="1">
      <alignment horizontal="center"/>
    </xf>
    <xf numFmtId="187" fontId="6" fillId="0" borderId="32" xfId="96" applyNumberFormat="1" applyFont="1" applyBorder="1" applyAlignment="1">
      <alignment/>
    </xf>
    <xf numFmtId="187" fontId="0" fillId="0" borderId="0" xfId="96" applyNumberFormat="1" applyFill="1" applyBorder="1" applyAlignment="1">
      <alignment/>
    </xf>
    <xf numFmtId="187" fontId="0" fillId="0" borderId="27" xfId="96" applyNumberFormat="1" applyBorder="1" applyAlignment="1">
      <alignment/>
    </xf>
    <xf numFmtId="187" fontId="6" fillId="0" borderId="31" xfId="96" applyNumberFormat="1" applyFont="1" applyBorder="1" applyAlignment="1">
      <alignment horizontal="right"/>
    </xf>
    <xf numFmtId="187" fontId="6" fillId="0" borderId="30" xfId="96" applyNumberFormat="1" applyFont="1" applyBorder="1" applyAlignment="1">
      <alignment horizontal="right"/>
    </xf>
    <xf numFmtId="187" fontId="6" fillId="0" borderId="32" xfId="96" applyNumberFormat="1" applyFont="1" applyBorder="1" applyAlignment="1">
      <alignment horizontal="right"/>
    </xf>
    <xf numFmtId="187" fontId="6" fillId="0" borderId="19" xfId="96" applyNumberFormat="1" applyFont="1" applyBorder="1" applyAlignment="1">
      <alignment horizontal="right"/>
    </xf>
    <xf numFmtId="187" fontId="6" fillId="0" borderId="23" xfId="96" applyNumberFormat="1" applyFont="1" applyBorder="1" applyAlignment="1">
      <alignment horizontal="center"/>
    </xf>
    <xf numFmtId="187" fontId="6" fillId="0" borderId="19" xfId="96" applyNumberFormat="1" applyFont="1" applyBorder="1" applyAlignment="1">
      <alignment horizontal="center"/>
    </xf>
    <xf numFmtId="187" fontId="6" fillId="0" borderId="0" xfId="96" applyNumberFormat="1" applyFont="1" applyBorder="1" applyAlignment="1">
      <alignment horizontal="center"/>
    </xf>
    <xf numFmtId="187" fontId="0" fillId="0" borderId="0" xfId="96" applyNumberFormat="1" applyFont="1" applyFill="1" applyBorder="1" applyAlignment="1">
      <alignment horizontal="center"/>
    </xf>
    <xf numFmtId="187" fontId="0" fillId="0" borderId="27" xfId="96" applyNumberFormat="1" applyFont="1" applyBorder="1" applyAlignment="1">
      <alignment horizontal="center"/>
    </xf>
    <xf numFmtId="187" fontId="6" fillId="0" borderId="57" xfId="96" applyNumberFormat="1" applyFont="1" applyFill="1" applyBorder="1" applyAlignment="1">
      <alignment horizontal="right"/>
    </xf>
    <xf numFmtId="187" fontId="6" fillId="0" borderId="58" xfId="96" applyNumberFormat="1" applyFont="1" applyFill="1" applyBorder="1" applyAlignment="1">
      <alignment horizontal="right"/>
    </xf>
    <xf numFmtId="187" fontId="6" fillId="0" borderId="61" xfId="96" applyNumberFormat="1" applyFont="1" applyFill="1" applyBorder="1" applyAlignment="1">
      <alignment horizontal="right"/>
    </xf>
    <xf numFmtId="189" fontId="14" fillId="0" borderId="0" xfId="0" applyFont="1" applyAlignment="1">
      <alignment horizontal="center"/>
    </xf>
    <xf numFmtId="191" fontId="6" fillId="0" borderId="0" xfId="96" applyNumberFormat="1" applyFont="1" applyFill="1" applyBorder="1" applyAlignment="1">
      <alignment horizontal="right"/>
    </xf>
    <xf numFmtId="187" fontId="6" fillId="0" borderId="0" xfId="96" applyNumberFormat="1" applyFont="1" applyFill="1" applyAlignment="1">
      <alignment horizontal="right"/>
    </xf>
    <xf numFmtId="172" fontId="6" fillId="0" borderId="30" xfId="104" applyNumberFormat="1" applyFont="1" applyFill="1" applyBorder="1" applyAlignment="1">
      <alignment horizontal="right"/>
    </xf>
    <xf numFmtId="174" fontId="6" fillId="0" borderId="33" xfId="104" applyNumberFormat="1" applyFont="1" applyFill="1" applyBorder="1" applyAlignment="1">
      <alignment horizontal="right"/>
    </xf>
    <xf numFmtId="174" fontId="6" fillId="0" borderId="27" xfId="167" applyNumberFormat="1" applyFont="1" applyBorder="1" applyAlignment="1">
      <alignment horizontal="center"/>
      <protection/>
    </xf>
    <xf numFmtId="174" fontId="6" fillId="0" borderId="32" xfId="96" applyNumberFormat="1" applyFont="1" applyFill="1" applyBorder="1" applyAlignment="1">
      <alignment horizontal="right"/>
    </xf>
    <xf numFmtId="185" fontId="6" fillId="0" borderId="31" xfId="96" applyNumberFormat="1" applyFont="1" applyFill="1" applyBorder="1" applyAlignment="1">
      <alignment horizontal="right"/>
    </xf>
    <xf numFmtId="185" fontId="6" fillId="0" borderId="32" xfId="96" applyNumberFormat="1" applyFont="1" applyFill="1" applyBorder="1" applyAlignment="1">
      <alignment horizontal="right"/>
    </xf>
    <xf numFmtId="174" fontId="6" fillId="0" borderId="19" xfId="204" applyNumberFormat="1" applyFont="1" applyFill="1" applyBorder="1" applyAlignment="1">
      <alignment horizontal="right"/>
    </xf>
    <xf numFmtId="43" fontId="6" fillId="0" borderId="0" xfId="96" applyFont="1" applyAlignment="1">
      <alignment/>
    </xf>
    <xf numFmtId="200" fontId="6" fillId="0" borderId="29" xfId="167" applyNumberFormat="1" applyFont="1" applyFill="1" applyBorder="1" applyAlignment="1">
      <alignment horizontal="right"/>
      <protection/>
    </xf>
    <xf numFmtId="176" fontId="6" fillId="0" borderId="0" xfId="0" applyNumberFormat="1" applyFont="1" applyFill="1" applyBorder="1" applyAlignment="1">
      <alignment horizontal="right"/>
    </xf>
    <xf numFmtId="176" fontId="6" fillId="0" borderId="27" xfId="0" applyNumberFormat="1" applyFont="1" applyFill="1" applyBorder="1" applyAlignment="1">
      <alignment/>
    </xf>
    <xf numFmtId="176" fontId="6" fillId="0" borderId="29" xfId="0" applyNumberFormat="1" applyFont="1" applyFill="1" applyBorder="1" applyAlignment="1">
      <alignment/>
    </xf>
    <xf numFmtId="176" fontId="6" fillId="0" borderId="29" xfId="201" applyNumberFormat="1" applyFont="1" applyFill="1" applyBorder="1" applyAlignment="1">
      <alignment/>
    </xf>
    <xf numFmtId="43" fontId="6" fillId="0" borderId="0" xfId="96" applyNumberFormat="1" applyFont="1" applyFill="1" applyBorder="1" applyAlignment="1">
      <alignment/>
    </xf>
    <xf numFmtId="196" fontId="6" fillId="0" borderId="0" xfId="96" applyNumberFormat="1" applyFont="1" applyFill="1" applyBorder="1" applyAlignment="1">
      <alignment/>
    </xf>
    <xf numFmtId="177" fontId="6" fillId="0" borderId="29" xfId="0" applyNumberFormat="1" applyFont="1" applyFill="1" applyBorder="1" applyAlignment="1">
      <alignment/>
    </xf>
    <xf numFmtId="180" fontId="6" fillId="0" borderId="0" xfId="0" applyNumberFormat="1" applyFont="1" applyFill="1" applyBorder="1" applyAlignment="1">
      <alignment horizontal="right"/>
    </xf>
    <xf numFmtId="175" fontId="6" fillId="0" borderId="29" xfId="0" applyNumberFormat="1" applyFont="1" applyFill="1" applyBorder="1" applyAlignment="1">
      <alignment/>
    </xf>
    <xf numFmtId="39" fontId="6" fillId="0" borderId="29" xfId="0" applyNumberFormat="1" applyFont="1" applyFill="1" applyBorder="1" applyAlignment="1">
      <alignment/>
    </xf>
    <xf numFmtId="175" fontId="6" fillId="0" borderId="29" xfId="0" applyNumberFormat="1" applyFont="1" applyFill="1" applyBorder="1" applyAlignment="1">
      <alignment horizontal="right"/>
    </xf>
    <xf numFmtId="176" fontId="6" fillId="0" borderId="0" xfId="201" applyNumberFormat="1" applyFont="1" applyFill="1" applyBorder="1" applyAlignment="1">
      <alignment/>
    </xf>
    <xf numFmtId="173" fontId="6" fillId="0" borderId="29" xfId="201" applyNumberFormat="1" applyFont="1" applyFill="1" applyBorder="1" applyAlignment="1">
      <alignment/>
    </xf>
    <xf numFmtId="178" fontId="6" fillId="0" borderId="29" xfId="0" applyNumberFormat="1" applyFont="1" applyFill="1" applyBorder="1" applyAlignment="1">
      <alignment/>
    </xf>
    <xf numFmtId="183" fontId="6" fillId="0" borderId="29" xfId="0" applyNumberFormat="1" applyFont="1" applyFill="1" applyBorder="1" applyAlignment="1">
      <alignment/>
    </xf>
    <xf numFmtId="178" fontId="6" fillId="0" borderId="27" xfId="0" applyNumberFormat="1" applyFont="1" applyFill="1" applyBorder="1" applyAlignment="1">
      <alignment/>
    </xf>
    <xf numFmtId="173" fontId="6" fillId="59" borderId="0" xfId="201" applyNumberFormat="1" applyFont="1" applyFill="1" applyBorder="1" applyAlignment="1">
      <alignment horizontal="right"/>
    </xf>
    <xf numFmtId="183" fontId="6" fillId="0" borderId="28" xfId="0" applyNumberFormat="1" applyFont="1" applyFill="1" applyBorder="1" applyAlignment="1">
      <alignment/>
    </xf>
    <xf numFmtId="199" fontId="6" fillId="0" borderId="0" xfId="0" applyNumberFormat="1" applyFont="1" applyFill="1" applyBorder="1" applyAlignment="1">
      <alignment/>
    </xf>
    <xf numFmtId="178" fontId="6" fillId="0" borderId="28" xfId="0" applyNumberFormat="1" applyFont="1" applyFill="1" applyBorder="1" applyAlignment="1">
      <alignment/>
    </xf>
    <xf numFmtId="0" fontId="0" fillId="0" borderId="28" xfId="167" applyFont="1" applyBorder="1">
      <alignment/>
      <protection/>
    </xf>
    <xf numFmtId="0" fontId="0" fillId="0" borderId="0" xfId="167" applyFont="1">
      <alignment/>
      <protection/>
    </xf>
    <xf numFmtId="0" fontId="0" fillId="0" borderId="0" xfId="167" applyFont="1" applyBorder="1">
      <alignment/>
      <protection/>
    </xf>
    <xf numFmtId="189" fontId="0" fillId="0" borderId="0" xfId="0" applyFont="1" applyBorder="1" applyAlignment="1">
      <alignment/>
    </xf>
    <xf numFmtId="189" fontId="0" fillId="0" borderId="0" xfId="0" applyFont="1" applyFill="1" applyAlignment="1">
      <alignment wrapText="1"/>
    </xf>
    <xf numFmtId="189" fontId="0" fillId="0" borderId="28" xfId="0" applyFont="1" applyFill="1" applyBorder="1" applyAlignment="1">
      <alignment/>
    </xf>
    <xf numFmtId="189" fontId="0" fillId="0" borderId="0" xfId="0" applyFont="1" applyFill="1" applyAlignment="1">
      <alignment/>
    </xf>
    <xf numFmtId="182" fontId="6" fillId="0" borderId="0" xfId="201" applyNumberFormat="1" applyFont="1" applyBorder="1" applyAlignment="1">
      <alignment/>
    </xf>
    <xf numFmtId="189" fontId="0" fillId="0" borderId="0" xfId="0" applyFill="1" applyAlignment="1">
      <alignment wrapText="1"/>
    </xf>
    <xf numFmtId="189" fontId="16" fillId="0" borderId="0" xfId="0" applyFont="1" applyAlignment="1">
      <alignment horizontal="center" wrapText="1"/>
    </xf>
    <xf numFmtId="189" fontId="0" fillId="0" borderId="0" xfId="0" applyAlignment="1">
      <alignment wrapText="1"/>
    </xf>
    <xf numFmtId="189" fontId="15" fillId="0" borderId="0" xfId="0" applyFont="1" applyAlignment="1">
      <alignment horizontal="center" wrapText="1"/>
    </xf>
    <xf numFmtId="189" fontId="0" fillId="0" borderId="0" xfId="0" applyFont="1" applyFill="1" applyAlignment="1" applyProtection="1">
      <alignment horizontal="left" vertical="top" wrapText="1"/>
      <protection locked="0"/>
    </xf>
    <xf numFmtId="189" fontId="0" fillId="0" borderId="0" xfId="0" applyFont="1" applyFill="1" applyAlignment="1" applyProtection="1">
      <alignment horizontal="left" vertical="top" wrapText="1"/>
      <protection locked="0"/>
    </xf>
    <xf numFmtId="189" fontId="0" fillId="0" borderId="0" xfId="0" applyFill="1" applyAlignment="1" applyProtection="1">
      <alignment horizontal="left" vertical="top" wrapText="1"/>
      <protection locked="0"/>
    </xf>
    <xf numFmtId="189" fontId="0" fillId="0" borderId="0" xfId="0" applyFont="1" applyFill="1" applyAlignment="1">
      <alignment horizontal="left" wrapText="1"/>
    </xf>
    <xf numFmtId="189" fontId="0" fillId="0" borderId="0" xfId="0" applyFont="1" applyFill="1" applyAlignment="1">
      <alignment horizontal="left" wrapText="1"/>
    </xf>
    <xf numFmtId="189" fontId="0" fillId="0" borderId="0" xfId="0" applyFill="1" applyAlignment="1">
      <alignment horizontal="left" wrapText="1"/>
    </xf>
    <xf numFmtId="189" fontId="0" fillId="0" borderId="28" xfId="0" applyFont="1" applyBorder="1" applyAlignment="1">
      <alignment horizontal="left" wrapText="1" indent="2"/>
    </xf>
    <xf numFmtId="189" fontId="0" fillId="0" borderId="0" xfId="0" applyBorder="1" applyAlignment="1">
      <alignment horizontal="left" indent="2"/>
    </xf>
    <xf numFmtId="189" fontId="0" fillId="0" borderId="28" xfId="0" applyFont="1" applyBorder="1" applyAlignment="1">
      <alignment horizontal="left" wrapText="1" indent="2"/>
    </xf>
    <xf numFmtId="189" fontId="0" fillId="0" borderId="23" xfId="0" applyFont="1" applyBorder="1" applyAlignment="1">
      <alignment horizontal="left" wrapText="1" indent="2"/>
    </xf>
    <xf numFmtId="189" fontId="0" fillId="0" borderId="24" xfId="0" applyBorder="1" applyAlignment="1">
      <alignment horizontal="left" indent="2"/>
    </xf>
    <xf numFmtId="189" fontId="0" fillId="0" borderId="0" xfId="0" applyFont="1" applyFill="1" applyAlignment="1" applyProtection="1">
      <alignment horizontal="left" wrapText="1"/>
      <protection locked="0"/>
    </xf>
    <xf numFmtId="189" fontId="0" fillId="0" borderId="0" xfId="0" applyFont="1" applyFill="1" applyAlignment="1" applyProtection="1">
      <alignment horizontal="left" wrapText="1"/>
      <protection locked="0"/>
    </xf>
    <xf numFmtId="189" fontId="0" fillId="0" borderId="0" xfId="0" applyFill="1" applyAlignment="1" applyProtection="1">
      <alignment horizontal="left" wrapText="1"/>
      <protection locked="0"/>
    </xf>
    <xf numFmtId="189" fontId="0" fillId="0" borderId="28" xfId="0" applyFont="1" applyBorder="1" applyAlignment="1">
      <alignment horizontal="left" indent="2"/>
    </xf>
    <xf numFmtId="189" fontId="0" fillId="0" borderId="0" xfId="0" applyFont="1" applyBorder="1" applyAlignment="1">
      <alignment horizontal="left" indent="2"/>
    </xf>
    <xf numFmtId="189" fontId="2" fillId="0" borderId="0" xfId="0" applyFont="1" applyFill="1" applyBorder="1" applyAlignment="1">
      <alignment horizontal="center"/>
    </xf>
    <xf numFmtId="189" fontId="2" fillId="0" borderId="29" xfId="0" applyFont="1" applyFill="1" applyBorder="1" applyAlignment="1">
      <alignment horizontal="center"/>
    </xf>
    <xf numFmtId="189" fontId="11" fillId="0" borderId="20" xfId="0" applyFont="1" applyFill="1" applyBorder="1" applyAlignment="1">
      <alignment horizontal="center"/>
    </xf>
    <xf numFmtId="189" fontId="11" fillId="0" borderId="22" xfId="0" applyFont="1" applyFill="1" applyBorder="1" applyAlignment="1">
      <alignment horizontal="center"/>
    </xf>
    <xf numFmtId="189" fontId="2" fillId="0" borderId="23" xfId="0" applyFont="1" applyFill="1" applyBorder="1" applyAlignment="1">
      <alignment horizontal="center"/>
    </xf>
    <xf numFmtId="189" fontId="2" fillId="0" borderId="19" xfId="0" applyFont="1" applyFill="1" applyBorder="1" applyAlignment="1">
      <alignment horizontal="center"/>
    </xf>
    <xf numFmtId="189" fontId="6" fillId="0" borderId="23" xfId="0" applyFont="1" applyFill="1" applyBorder="1" applyAlignment="1">
      <alignment horizontal="center"/>
    </xf>
    <xf numFmtId="189" fontId="6" fillId="0" borderId="19" xfId="0" applyFont="1" applyFill="1" applyBorder="1" applyAlignment="1">
      <alignment horizontal="center"/>
    </xf>
    <xf numFmtId="189" fontId="11" fillId="0" borderId="0" xfId="0" applyFont="1" applyAlignment="1">
      <alignment wrapText="1"/>
    </xf>
    <xf numFmtId="189" fontId="0" fillId="0" borderId="0" xfId="0" applyBorder="1" applyAlignment="1">
      <alignment wrapText="1"/>
    </xf>
    <xf numFmtId="0" fontId="11" fillId="0" borderId="20" xfId="185" applyFont="1" applyFill="1" applyBorder="1" applyAlignment="1">
      <alignment horizontal="center"/>
      <protection/>
    </xf>
    <xf numFmtId="0" fontId="11" fillId="0" borderId="22" xfId="185" applyFont="1" applyFill="1" applyBorder="1" applyAlignment="1">
      <alignment horizontal="center"/>
      <protection/>
    </xf>
    <xf numFmtId="0" fontId="2" fillId="0" borderId="23" xfId="167" applyFont="1" applyFill="1" applyBorder="1" applyAlignment="1">
      <alignment horizontal="center"/>
      <protection/>
    </xf>
    <xf numFmtId="0" fontId="2" fillId="0" borderId="19" xfId="167" applyFont="1" applyFill="1" applyBorder="1" applyAlignment="1">
      <alignment horizontal="center"/>
      <protection/>
    </xf>
    <xf numFmtId="0" fontId="11" fillId="0" borderId="0" xfId="167" applyFont="1" applyAlignment="1">
      <alignment wrapText="1"/>
      <protection/>
    </xf>
    <xf numFmtId="0" fontId="0" fillId="0" borderId="0" xfId="167" applyBorder="1" applyAlignment="1">
      <alignment wrapText="1"/>
      <protection/>
    </xf>
    <xf numFmtId="0" fontId="0" fillId="0" borderId="0" xfId="167" applyAlignment="1">
      <alignment wrapText="1"/>
      <protection/>
    </xf>
    <xf numFmtId="0" fontId="6" fillId="0" borderId="23" xfId="167" applyFont="1" applyFill="1" applyBorder="1" applyAlignment="1">
      <alignment horizontal="center"/>
      <protection/>
    </xf>
    <xf numFmtId="0" fontId="6" fillId="0" borderId="19" xfId="167" applyFont="1" applyFill="1" applyBorder="1" applyAlignment="1">
      <alignment horizontal="center"/>
      <protection/>
    </xf>
    <xf numFmtId="189" fontId="2" fillId="0" borderId="24" xfId="0" applyFont="1" applyFill="1" applyBorder="1" applyAlignment="1">
      <alignment horizontal="center"/>
    </xf>
    <xf numFmtId="0" fontId="11" fillId="0" borderId="20" xfId="160" applyFont="1" applyFill="1" applyBorder="1" applyAlignment="1">
      <alignment horizontal="center"/>
      <protection/>
    </xf>
    <xf numFmtId="0" fontId="11" fillId="0" borderId="22" xfId="160" applyFont="1" applyFill="1" applyBorder="1" applyAlignment="1">
      <alignment horizontal="center"/>
      <protection/>
    </xf>
    <xf numFmtId="0" fontId="11" fillId="0" borderId="20" xfId="162" applyFont="1" applyFill="1" applyBorder="1" applyAlignment="1">
      <alignment horizontal="center"/>
      <protection/>
    </xf>
    <xf numFmtId="0" fontId="11" fillId="0" borderId="22" xfId="162" applyFont="1" applyFill="1" applyBorder="1" applyAlignment="1">
      <alignment horizontal="center"/>
      <protection/>
    </xf>
    <xf numFmtId="189" fontId="2" fillId="0" borderId="19" xfId="0" applyFont="1" applyFill="1" applyBorder="1" applyAlignment="1">
      <alignment horizontal="center"/>
    </xf>
    <xf numFmtId="189" fontId="2" fillId="0" borderId="24" xfId="0" applyFont="1" applyFill="1" applyBorder="1" applyAlignment="1">
      <alignment horizontal="center"/>
    </xf>
    <xf numFmtId="189" fontId="2" fillId="0" borderId="0" xfId="0" applyFont="1" applyFill="1" applyBorder="1" applyAlignment="1">
      <alignment horizontal="center"/>
    </xf>
    <xf numFmtId="189" fontId="2" fillId="0" borderId="23" xfId="0" applyFont="1" applyFill="1" applyBorder="1" applyAlignment="1">
      <alignment horizontal="center"/>
    </xf>
    <xf numFmtId="189" fontId="2" fillId="0" borderId="28" xfId="0" applyFont="1" applyFill="1" applyBorder="1" applyAlignment="1">
      <alignment horizontal="center"/>
    </xf>
    <xf numFmtId="189" fontId="8" fillId="0" borderId="0" xfId="0" applyFont="1" applyFill="1" applyAlignment="1">
      <alignment wrapText="1"/>
    </xf>
    <xf numFmtId="189" fontId="0" fillId="0" borderId="0" xfId="0" applyFill="1" applyBorder="1" applyAlignment="1">
      <alignment wrapText="1"/>
    </xf>
    <xf numFmtId="189" fontId="0" fillId="0" borderId="21" xfId="0" applyBorder="1" applyAlignment="1">
      <alignment/>
    </xf>
    <xf numFmtId="189" fontId="0" fillId="0" borderId="22" xfId="0" applyBorder="1" applyAlignment="1">
      <alignment/>
    </xf>
    <xf numFmtId="189" fontId="8" fillId="0" borderId="0" xfId="0" applyFont="1" applyFill="1" applyAlignment="1">
      <alignment horizontal="left" wrapText="1"/>
    </xf>
    <xf numFmtId="189" fontId="8" fillId="0" borderId="29" xfId="0" applyFont="1" applyFill="1" applyBorder="1" applyAlignment="1">
      <alignment horizontal="left" wrapText="1"/>
    </xf>
    <xf numFmtId="189" fontId="20" fillId="0" borderId="0" xfId="166" applyFont="1" applyFill="1" applyAlignment="1">
      <alignment wrapText="1"/>
      <protection/>
    </xf>
    <xf numFmtId="189" fontId="20" fillId="0" borderId="0" xfId="166" applyFont="1" applyFill="1" applyAlignment="1">
      <alignment vertical="center" wrapText="1"/>
      <protection/>
    </xf>
    <xf numFmtId="189" fontId="6" fillId="0" borderId="0" xfId="0" applyFont="1" applyFill="1" applyAlignment="1">
      <alignment wrapText="1"/>
    </xf>
    <xf numFmtId="189" fontId="20" fillId="0" borderId="0" xfId="166" applyFont="1" applyAlignment="1">
      <alignment wrapText="1"/>
      <protection/>
    </xf>
    <xf numFmtId="189" fontId="11" fillId="0" borderId="25" xfId="0" applyFont="1" applyBorder="1" applyAlignment="1">
      <alignment horizontal="center"/>
    </xf>
    <xf numFmtId="189" fontId="0" fillId="0" borderId="27" xfId="0" applyBorder="1" applyAlignment="1">
      <alignment horizontal="center"/>
    </xf>
    <xf numFmtId="189" fontId="11" fillId="0" borderId="63" xfId="0" applyFont="1" applyBorder="1" applyAlignment="1">
      <alignment horizontal="center"/>
    </xf>
    <xf numFmtId="189" fontId="0" fillId="0" borderId="33" xfId="0" applyBorder="1" applyAlignment="1">
      <alignment horizontal="center"/>
    </xf>
    <xf numFmtId="189" fontId="11" fillId="0" borderId="64" xfId="0" applyFont="1" applyBorder="1" applyAlignment="1">
      <alignment horizontal="center"/>
    </xf>
    <xf numFmtId="189" fontId="0" fillId="0" borderId="65" xfId="0" applyBorder="1" applyAlignment="1">
      <alignment horizontal="center"/>
    </xf>
    <xf numFmtId="189" fontId="11" fillId="0" borderId="20" xfId="0" applyFont="1" applyBorder="1" applyAlignment="1">
      <alignment horizontal="center"/>
    </xf>
    <xf numFmtId="189" fontId="0" fillId="0" borderId="28" xfId="0" applyBorder="1" applyAlignment="1">
      <alignment horizontal="center"/>
    </xf>
    <xf numFmtId="189" fontId="11" fillId="0" borderId="66" xfId="0" applyFont="1" applyBorder="1" applyAlignment="1">
      <alignment horizontal="center"/>
    </xf>
    <xf numFmtId="189" fontId="0" fillId="0" borderId="67" xfId="0" applyBorder="1" applyAlignment="1">
      <alignment horizontal="center"/>
    </xf>
    <xf numFmtId="189" fontId="0" fillId="0" borderId="44" xfId="0" applyBorder="1" applyAlignment="1">
      <alignment horizontal="center"/>
    </xf>
    <xf numFmtId="189" fontId="11" fillId="0" borderId="22" xfId="0" applyFont="1" applyBorder="1" applyAlignment="1">
      <alignment horizontal="center"/>
    </xf>
    <xf numFmtId="189" fontId="0" fillId="0" borderId="29" xfId="0" applyBorder="1" applyAlignment="1">
      <alignment horizontal="center"/>
    </xf>
    <xf numFmtId="189" fontId="0" fillId="0" borderId="25" xfId="0" applyBorder="1" applyAlignment="1">
      <alignment horizontal="center"/>
    </xf>
    <xf numFmtId="189" fontId="0" fillId="0" borderId="68" xfId="0" applyBorder="1" applyAlignment="1">
      <alignment horizontal="center"/>
    </xf>
  </cellXfs>
  <cellStyles count="20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0] 2" xfId="98"/>
    <cellStyle name="Comma [0] 3" xfId="99"/>
    <cellStyle name="Comma 10" xfId="100"/>
    <cellStyle name="Comma 11" xfId="101"/>
    <cellStyle name="Comma 2" xfId="102"/>
    <cellStyle name="Comma 2 2" xfId="103"/>
    <cellStyle name="Comma 2 2 2" xfId="104"/>
    <cellStyle name="Comma 2 2 3" xfId="105"/>
    <cellStyle name="Comma 2 3" xfId="106"/>
    <cellStyle name="Comma 2 4" xfId="107"/>
    <cellStyle name="Comma 3" xfId="108"/>
    <cellStyle name="Comma 3 2" xfId="109"/>
    <cellStyle name="Comma 3 2 2" xfId="110"/>
    <cellStyle name="Comma 3 3" xfId="111"/>
    <cellStyle name="Comma 4" xfId="112"/>
    <cellStyle name="Comma 4 2" xfId="113"/>
    <cellStyle name="Comma 5" xfId="114"/>
    <cellStyle name="Comma 6" xfId="115"/>
    <cellStyle name="Comma 7" xfId="116"/>
    <cellStyle name="Comma 8" xfId="117"/>
    <cellStyle name="Comma 9" xfId="118"/>
    <cellStyle name="Comma_FINAL Q408 Supp_June12" xfId="119"/>
    <cellStyle name="Currency" xfId="120"/>
    <cellStyle name="Currency [0]" xfId="121"/>
    <cellStyle name="Currency 2" xfId="122"/>
    <cellStyle name="Currency 2 2" xfId="123"/>
    <cellStyle name="Currency 3" xfId="124"/>
    <cellStyle name="Currency 3 2" xfId="125"/>
    <cellStyle name="Currency 4" xfId="126"/>
    <cellStyle name="Currency 5" xfId="127"/>
    <cellStyle name="Currency 6" xfId="128"/>
    <cellStyle name="Explanatory Text" xfId="129"/>
    <cellStyle name="Explanatory Text 2" xfId="130"/>
    <cellStyle name="Explanatory Text 3" xfId="131"/>
    <cellStyle name="Good" xfId="132"/>
    <cellStyle name="Good 2" xfId="133"/>
    <cellStyle name="Good 3" xfId="134"/>
    <cellStyle name="Heading 1" xfId="135"/>
    <cellStyle name="Heading 1 2" xfId="136"/>
    <cellStyle name="Heading 1 3" xfId="137"/>
    <cellStyle name="Heading 2" xfId="138"/>
    <cellStyle name="Heading 2 2" xfId="139"/>
    <cellStyle name="Heading 2 3" xfId="140"/>
    <cellStyle name="Heading 3" xfId="141"/>
    <cellStyle name="Heading 3 2" xfId="142"/>
    <cellStyle name="Heading 3 3" xfId="143"/>
    <cellStyle name="Heading 4" xfId="144"/>
    <cellStyle name="Heading 4 2" xfId="145"/>
    <cellStyle name="Heading 4 3" xfId="146"/>
    <cellStyle name="Hyperlink" xfId="147"/>
    <cellStyle name="Hyperlink 2" xfId="148"/>
    <cellStyle name="Hyperlink 2 2" xfId="149"/>
    <cellStyle name="Hyperlink 3" xfId="150"/>
    <cellStyle name="Input" xfId="151"/>
    <cellStyle name="Input 2" xfId="152"/>
    <cellStyle name="Input 3" xfId="153"/>
    <cellStyle name="Linked Cell" xfId="154"/>
    <cellStyle name="Linked Cell 2" xfId="155"/>
    <cellStyle name="Linked Cell 3" xfId="156"/>
    <cellStyle name="Neutral" xfId="157"/>
    <cellStyle name="Neutral 2" xfId="158"/>
    <cellStyle name="Neutral 3" xfId="159"/>
    <cellStyle name="Normal 10" xfId="160"/>
    <cellStyle name="Normal 10 2" xfId="161"/>
    <cellStyle name="Normal 11" xfId="162"/>
    <cellStyle name="Normal 11 2" xfId="163"/>
    <cellStyle name="Normal 12" xfId="164"/>
    <cellStyle name="Normal 2" xfId="165"/>
    <cellStyle name="Normal 2 2" xfId="166"/>
    <cellStyle name="Normal 2 2 2" xfId="167"/>
    <cellStyle name="Normal 2 2 2 2" xfId="168"/>
    <cellStyle name="Normal 2 3" xfId="169"/>
    <cellStyle name="Normal 3" xfId="170"/>
    <cellStyle name="Normal 3 2" xfId="171"/>
    <cellStyle name="Normal 3 2 2" xfId="172"/>
    <cellStyle name="Normal 3 3" xfId="173"/>
    <cellStyle name="Normal 4" xfId="174"/>
    <cellStyle name="Normal 4 2" xfId="175"/>
    <cellStyle name="Normal 5" xfId="176"/>
    <cellStyle name="Normal 5 2" xfId="177"/>
    <cellStyle name="Normal 5 3" xfId="178"/>
    <cellStyle name="Normal 6" xfId="179"/>
    <cellStyle name="Normal 6 2" xfId="180"/>
    <cellStyle name="Normal 6 2 2" xfId="181"/>
    <cellStyle name="Normal 6 3" xfId="182"/>
    <cellStyle name="Normal 7" xfId="183"/>
    <cellStyle name="Normal 7 2" xfId="184"/>
    <cellStyle name="Normal 8" xfId="185"/>
    <cellStyle name="Normal 8 2" xfId="186"/>
    <cellStyle name="Normal 9" xfId="187"/>
    <cellStyle name="Note" xfId="188"/>
    <cellStyle name="Note 2" xfId="189"/>
    <cellStyle name="Note 2 2" xfId="190"/>
    <cellStyle name="Note 2 3" xfId="191"/>
    <cellStyle name="Note 3" xfId="192"/>
    <cellStyle name="Note 3 2" xfId="193"/>
    <cellStyle name="Note 4" xfId="194"/>
    <cellStyle name="Note 5" xfId="195"/>
    <cellStyle name="Note 5 2" xfId="196"/>
    <cellStyle name="Note 6" xfId="197"/>
    <cellStyle name="Output" xfId="198"/>
    <cellStyle name="Output 2" xfId="199"/>
    <cellStyle name="Output 3" xfId="200"/>
    <cellStyle name="Percent" xfId="201"/>
    <cellStyle name="Percent 2" xfId="202"/>
    <cellStyle name="Percent 2 2" xfId="203"/>
    <cellStyle name="Percent 2 2 2" xfId="204"/>
    <cellStyle name="Percent 2 3" xfId="205"/>
    <cellStyle name="Percent 3" xfId="206"/>
    <cellStyle name="Percent 3 2" xfId="207"/>
    <cellStyle name="Percent 4" xfId="208"/>
    <cellStyle name="Percent 5" xfId="209"/>
    <cellStyle name="Percent 6" xfId="210"/>
    <cellStyle name="Percent 7" xfId="211"/>
    <cellStyle name="Title" xfId="212"/>
    <cellStyle name="Title 2" xfId="213"/>
    <cellStyle name="Total" xfId="214"/>
    <cellStyle name="Total 2" xfId="215"/>
    <cellStyle name="Total 3" xfId="216"/>
    <cellStyle name="Warning Text" xfId="217"/>
    <cellStyle name="Warning Text 2" xfId="218"/>
    <cellStyle name="Warning Text 3" xfId="219"/>
  </cellStyles>
  <dxfs count="39">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6</xdr:row>
      <xdr:rowOff>19050</xdr:rowOff>
    </xdr:from>
    <xdr:to>
      <xdr:col>7</xdr:col>
      <xdr:colOff>0</xdr:colOff>
      <xdr:row>9</xdr:row>
      <xdr:rowOff>142875</xdr:rowOff>
    </xdr:to>
    <xdr:pic>
      <xdr:nvPicPr>
        <xdr:cNvPr id="1" name="Picture 3" descr="Canaccord Genuity Group Inc."/>
        <xdr:cNvPicPr preferRelativeResize="1">
          <a:picLocks noChangeAspect="1"/>
        </xdr:cNvPicPr>
      </xdr:nvPicPr>
      <xdr:blipFill>
        <a:blip r:embed="rId1"/>
        <a:stretch>
          <a:fillRect/>
        </a:stretch>
      </xdr:blipFill>
      <xdr:spPr>
        <a:xfrm>
          <a:off x="1562100" y="990600"/>
          <a:ext cx="3657600" cy="609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66675</xdr:rowOff>
    </xdr:from>
    <xdr:to>
      <xdr:col>1</xdr:col>
      <xdr:colOff>2819400</xdr:colOff>
      <xdr:row>3</xdr:row>
      <xdr:rowOff>104775</xdr:rowOff>
    </xdr:to>
    <xdr:pic>
      <xdr:nvPicPr>
        <xdr:cNvPr id="1" name="Picture 3" descr="Canaccord Genuity Group Inc."/>
        <xdr:cNvPicPr preferRelativeResize="1">
          <a:picLocks noChangeAspect="1"/>
        </xdr:cNvPicPr>
      </xdr:nvPicPr>
      <xdr:blipFill>
        <a:blip r:embed="rId1"/>
        <a:stretch>
          <a:fillRect/>
        </a:stretch>
      </xdr:blipFill>
      <xdr:spPr>
        <a:xfrm>
          <a:off x="133350" y="66675"/>
          <a:ext cx="2867025"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47625</xdr:rowOff>
    </xdr:from>
    <xdr:to>
      <xdr:col>1</xdr:col>
      <xdr:colOff>2809875</xdr:colOff>
      <xdr:row>3</xdr:row>
      <xdr:rowOff>123825</xdr:rowOff>
    </xdr:to>
    <xdr:pic>
      <xdr:nvPicPr>
        <xdr:cNvPr id="1" name="Picture 2" descr="Canaccord Genuity Group Inc."/>
        <xdr:cNvPicPr preferRelativeResize="1">
          <a:picLocks noChangeAspect="1"/>
        </xdr:cNvPicPr>
      </xdr:nvPicPr>
      <xdr:blipFill>
        <a:blip r:embed="rId1"/>
        <a:stretch>
          <a:fillRect/>
        </a:stretch>
      </xdr:blipFill>
      <xdr:spPr>
        <a:xfrm>
          <a:off x="133350" y="47625"/>
          <a:ext cx="2857500" cy="476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4</xdr:row>
      <xdr:rowOff>9525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133350</xdr:rowOff>
    </xdr:from>
    <xdr:to>
      <xdr:col>2</xdr:col>
      <xdr:colOff>95250</xdr:colOff>
      <xdr:row>3</xdr:row>
      <xdr:rowOff>123825</xdr:rowOff>
    </xdr:to>
    <xdr:pic>
      <xdr:nvPicPr>
        <xdr:cNvPr id="1" name="Picture 2" descr="Canaccord Genuity Group Inc."/>
        <xdr:cNvPicPr preferRelativeResize="1">
          <a:picLocks noChangeAspect="1"/>
        </xdr:cNvPicPr>
      </xdr:nvPicPr>
      <xdr:blipFill>
        <a:blip r:embed="rId1"/>
        <a:stretch>
          <a:fillRect/>
        </a:stretch>
      </xdr:blipFill>
      <xdr:spPr>
        <a:xfrm>
          <a:off x="123825" y="133350"/>
          <a:ext cx="2857500" cy="476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2</xdr:col>
      <xdr:colOff>104775</xdr:colOff>
      <xdr:row>3</xdr:row>
      <xdr:rowOff>114300</xdr:rowOff>
    </xdr:to>
    <xdr:pic>
      <xdr:nvPicPr>
        <xdr:cNvPr id="1" name="Picture 2" descr="Canaccord Genuity Group Inc."/>
        <xdr:cNvPicPr preferRelativeResize="1">
          <a:picLocks noChangeAspect="1"/>
        </xdr:cNvPicPr>
      </xdr:nvPicPr>
      <xdr:blipFill>
        <a:blip r:embed="rId1"/>
        <a:stretch>
          <a:fillRect/>
        </a:stretch>
      </xdr:blipFill>
      <xdr:spPr>
        <a:xfrm>
          <a:off x="142875" y="123825"/>
          <a:ext cx="2857500" cy="4762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1</xdr:col>
      <xdr:colOff>2819400</xdr:colOff>
      <xdr:row>3</xdr:row>
      <xdr:rowOff>114300</xdr:rowOff>
    </xdr:to>
    <xdr:pic>
      <xdr:nvPicPr>
        <xdr:cNvPr id="1" name="Picture 2" descr="Canaccord Genuity Group Inc."/>
        <xdr:cNvPicPr preferRelativeResize="1">
          <a:picLocks noChangeAspect="1"/>
        </xdr:cNvPicPr>
      </xdr:nvPicPr>
      <xdr:blipFill>
        <a:blip r:embed="rId1"/>
        <a:stretch>
          <a:fillRect/>
        </a:stretch>
      </xdr:blipFill>
      <xdr:spPr>
        <a:xfrm>
          <a:off x="133350" y="114300"/>
          <a:ext cx="2867025" cy="4857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152400</xdr:rowOff>
    </xdr:from>
    <xdr:to>
      <xdr:col>4</xdr:col>
      <xdr:colOff>933450</xdr:colOff>
      <xdr:row>3</xdr:row>
      <xdr:rowOff>47625</xdr:rowOff>
    </xdr:to>
    <xdr:pic>
      <xdr:nvPicPr>
        <xdr:cNvPr id="1" name="Picture 2" descr="Canaccord Genuity Group Inc."/>
        <xdr:cNvPicPr preferRelativeResize="1">
          <a:picLocks noChangeAspect="1"/>
        </xdr:cNvPicPr>
      </xdr:nvPicPr>
      <xdr:blipFill>
        <a:blip r:embed="rId1"/>
        <a:stretch>
          <a:fillRect/>
        </a:stretch>
      </xdr:blipFill>
      <xdr:spPr>
        <a:xfrm>
          <a:off x="266700" y="152400"/>
          <a:ext cx="28479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123825</xdr:rowOff>
    </xdr:from>
    <xdr:to>
      <xdr:col>1</xdr:col>
      <xdr:colOff>2514600</xdr:colOff>
      <xdr:row>3</xdr:row>
      <xdr:rowOff>28575</xdr:rowOff>
    </xdr:to>
    <xdr:pic>
      <xdr:nvPicPr>
        <xdr:cNvPr id="1" name="Picture 2" descr="Canaccord Genuity Group Inc."/>
        <xdr:cNvPicPr preferRelativeResize="1">
          <a:picLocks noChangeAspect="1"/>
        </xdr:cNvPicPr>
      </xdr:nvPicPr>
      <xdr:blipFill>
        <a:blip r:embed="rId1"/>
        <a:stretch>
          <a:fillRect/>
        </a:stretch>
      </xdr:blipFill>
      <xdr:spPr>
        <a:xfrm>
          <a:off x="152400" y="123825"/>
          <a:ext cx="28479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0</xdr:rowOff>
    </xdr:from>
    <xdr:to>
      <xdr:col>2</xdr:col>
      <xdr:colOff>9525</xdr:colOff>
      <xdr:row>3</xdr:row>
      <xdr:rowOff>152400</xdr:rowOff>
    </xdr:to>
    <xdr:pic>
      <xdr:nvPicPr>
        <xdr:cNvPr id="1" name="Picture 2" descr="Canaccord Genuity Group Inc."/>
        <xdr:cNvPicPr preferRelativeResize="1">
          <a:picLocks noChangeAspect="1"/>
        </xdr:cNvPicPr>
      </xdr:nvPicPr>
      <xdr:blipFill>
        <a:blip r:embed="rId1"/>
        <a:stretch>
          <a:fillRect/>
        </a:stretch>
      </xdr:blipFill>
      <xdr:spPr>
        <a:xfrm>
          <a:off x="95250" y="161925"/>
          <a:ext cx="28575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57150</xdr:rowOff>
    </xdr:from>
    <xdr:to>
      <xdr:col>1</xdr:col>
      <xdr:colOff>2800350</xdr:colOff>
      <xdr:row>4</xdr:row>
      <xdr:rowOff>28575</xdr:rowOff>
    </xdr:to>
    <xdr:pic>
      <xdr:nvPicPr>
        <xdr:cNvPr id="1" name="Picture 2" descr="Canaccord Genuity Group Inc."/>
        <xdr:cNvPicPr preferRelativeResize="1">
          <a:picLocks noChangeAspect="1"/>
        </xdr:cNvPicPr>
      </xdr:nvPicPr>
      <xdr:blipFill>
        <a:blip r:embed="rId1"/>
        <a:stretch>
          <a:fillRect/>
        </a:stretch>
      </xdr:blipFill>
      <xdr:spPr>
        <a:xfrm>
          <a:off x="114300" y="123825"/>
          <a:ext cx="2867025"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0</xdr:colOff>
      <xdr:row>41</xdr:row>
      <xdr:rowOff>0</xdr:rowOff>
    </xdr:from>
    <xdr:to>
      <xdr:col>42</xdr:col>
      <xdr:colOff>85725</xdr:colOff>
      <xdr:row>42</xdr:row>
      <xdr:rowOff>0</xdr:rowOff>
    </xdr:to>
    <xdr:pic>
      <xdr:nvPicPr>
        <xdr:cNvPr id="1" name="mtgt_A.1001" descr="http://maps.gstatic.com/mapfiles/markers2/markerTransparent.png"/>
        <xdr:cNvPicPr preferRelativeResize="1">
          <a:picLocks noChangeAspect="1"/>
        </xdr:cNvPicPr>
      </xdr:nvPicPr>
      <xdr:blipFill>
        <a:blip r:embed="rId1"/>
        <a:stretch>
          <a:fillRect/>
        </a:stretch>
      </xdr:blipFill>
      <xdr:spPr>
        <a:xfrm>
          <a:off x="13020675" y="6391275"/>
          <a:ext cx="85725" cy="314325"/>
        </a:xfrm>
        <a:prstGeom prst="rect">
          <a:avLst/>
        </a:prstGeom>
        <a:noFill/>
        <a:ln w="9525" cmpd="sng">
          <a:noFill/>
        </a:ln>
      </xdr:spPr>
    </xdr:pic>
    <xdr:clientData/>
  </xdr:twoCellAnchor>
  <xdr:twoCellAnchor editAs="oneCell">
    <xdr:from>
      <xdr:col>42</xdr:col>
      <xdr:colOff>0</xdr:colOff>
      <xdr:row>41</xdr:row>
      <xdr:rowOff>0</xdr:rowOff>
    </xdr:from>
    <xdr:to>
      <xdr:col>42</xdr:col>
      <xdr:colOff>85725</xdr:colOff>
      <xdr:row>42</xdr:row>
      <xdr:rowOff>0</xdr:rowOff>
    </xdr:to>
    <xdr:pic>
      <xdr:nvPicPr>
        <xdr:cNvPr id="2" name="mtgt_A.1001" descr="http://maps.gstatic.com/mapfiles/markers2/markerTransparent.png"/>
        <xdr:cNvPicPr preferRelativeResize="1">
          <a:picLocks noChangeAspect="1"/>
        </xdr:cNvPicPr>
      </xdr:nvPicPr>
      <xdr:blipFill>
        <a:blip r:embed="rId1"/>
        <a:stretch>
          <a:fillRect/>
        </a:stretch>
      </xdr:blipFill>
      <xdr:spPr>
        <a:xfrm>
          <a:off x="13020675" y="6391275"/>
          <a:ext cx="85725" cy="314325"/>
        </a:xfrm>
        <a:prstGeom prst="rect">
          <a:avLst/>
        </a:prstGeom>
        <a:noFill/>
        <a:ln w="9525" cmpd="sng">
          <a:noFill/>
        </a:ln>
      </xdr:spPr>
    </xdr:pic>
    <xdr:clientData/>
  </xdr:twoCellAnchor>
  <xdr:twoCellAnchor editAs="oneCell">
    <xdr:from>
      <xdr:col>0</xdr:col>
      <xdr:colOff>161925</xdr:colOff>
      <xdr:row>1</xdr:row>
      <xdr:rowOff>28575</xdr:rowOff>
    </xdr:from>
    <xdr:to>
      <xdr:col>1</xdr:col>
      <xdr:colOff>2838450</xdr:colOff>
      <xdr:row>4</xdr:row>
      <xdr:rowOff>28575</xdr:rowOff>
    </xdr:to>
    <xdr:pic>
      <xdr:nvPicPr>
        <xdr:cNvPr id="3" name="Picture 7" descr="Canaccord Genuity Group Inc."/>
        <xdr:cNvPicPr preferRelativeResize="1">
          <a:picLocks noChangeAspect="1"/>
        </xdr:cNvPicPr>
      </xdr:nvPicPr>
      <xdr:blipFill>
        <a:blip r:embed="rId2"/>
        <a:stretch>
          <a:fillRect/>
        </a:stretch>
      </xdr:blipFill>
      <xdr:spPr>
        <a:xfrm>
          <a:off x="161925" y="114300"/>
          <a:ext cx="285750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2857500</xdr:colOff>
      <xdr:row>3</xdr:row>
      <xdr:rowOff>152400</xdr:rowOff>
    </xdr:to>
    <xdr:pic>
      <xdr:nvPicPr>
        <xdr:cNvPr id="1" name="Picture 2" descr="Canaccord Genuity Group Inc."/>
        <xdr:cNvPicPr preferRelativeResize="1">
          <a:picLocks noChangeAspect="1"/>
        </xdr:cNvPicPr>
      </xdr:nvPicPr>
      <xdr:blipFill>
        <a:blip r:embed="rId1"/>
        <a:stretch>
          <a:fillRect/>
        </a:stretch>
      </xdr:blipFill>
      <xdr:spPr>
        <a:xfrm>
          <a:off x="180975" y="161925"/>
          <a:ext cx="285750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104775</xdr:rowOff>
    </xdr:from>
    <xdr:to>
      <xdr:col>1</xdr:col>
      <xdr:colOff>2857500</xdr:colOff>
      <xdr:row>3</xdr:row>
      <xdr:rowOff>76200</xdr:rowOff>
    </xdr:to>
    <xdr:pic>
      <xdr:nvPicPr>
        <xdr:cNvPr id="1" name="Picture 2" descr="Canaccord Genuity Group Inc."/>
        <xdr:cNvPicPr preferRelativeResize="1">
          <a:picLocks noChangeAspect="1"/>
        </xdr:cNvPicPr>
      </xdr:nvPicPr>
      <xdr:blipFill>
        <a:blip r:embed="rId1"/>
        <a:stretch>
          <a:fillRect/>
        </a:stretch>
      </xdr:blipFill>
      <xdr:spPr>
        <a:xfrm>
          <a:off x="180975" y="104775"/>
          <a:ext cx="2857500"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133350</xdr:rowOff>
    </xdr:from>
    <xdr:to>
      <xdr:col>1</xdr:col>
      <xdr:colOff>2828925</xdr:colOff>
      <xdr:row>3</xdr:row>
      <xdr:rowOff>104775</xdr:rowOff>
    </xdr:to>
    <xdr:pic>
      <xdr:nvPicPr>
        <xdr:cNvPr id="1" name="Picture 2" descr="Canaccord Genuity Group Inc."/>
        <xdr:cNvPicPr preferRelativeResize="1">
          <a:picLocks noChangeAspect="1"/>
        </xdr:cNvPicPr>
      </xdr:nvPicPr>
      <xdr:blipFill>
        <a:blip r:embed="rId1"/>
        <a:stretch>
          <a:fillRect/>
        </a:stretch>
      </xdr:blipFill>
      <xdr:spPr>
        <a:xfrm>
          <a:off x="152400" y="133350"/>
          <a:ext cx="2857500" cy="45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2809875</xdr:colOff>
      <xdr:row>3</xdr:row>
      <xdr:rowOff>95250</xdr:rowOff>
    </xdr:to>
    <xdr:pic>
      <xdr:nvPicPr>
        <xdr:cNvPr id="1" name="Picture 2" descr="Canaccord Genuity Group Inc."/>
        <xdr:cNvPicPr preferRelativeResize="1">
          <a:picLocks noChangeAspect="1"/>
        </xdr:cNvPicPr>
      </xdr:nvPicPr>
      <xdr:blipFill>
        <a:blip r:embed="rId1"/>
        <a:stretch>
          <a:fillRect/>
        </a:stretch>
      </xdr:blipFill>
      <xdr:spPr>
        <a:xfrm>
          <a:off x="133350" y="123825"/>
          <a:ext cx="285750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arnings%20Reports\F2012\Q2-12\Supp\Drafts\Q2%2012%20Supp%20Draft%201%20Oct%2012%20(sep%20foreign%20loc).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arnings%20Reports\F2012\Q1-12\Supp\Drafts\Q1%2012%20Supp%20Draft%203%20Jul%2018%20(to%20Br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Cover"/>
      <sheetName val="2 Table of Contents"/>
      <sheetName val="1 Financial Highlights"/>
      <sheetName val="2 Consolidated IS"/>
      <sheetName val="3 Canaccord Genuity"/>
      <sheetName val="4 Canaccord Wealth Mgmt"/>
      <sheetName val="5 Other"/>
      <sheetName val="6 Geographic Canada"/>
      <sheetName val="7 Geographic UK"/>
      <sheetName val="8 Geographic US"/>
      <sheetName val="9 Geographic Other Foreign Loc"/>
      <sheetName val="10 Balance Sheet"/>
      <sheetName val="11 Misc Operating Stats"/>
      <sheetName val="12 Equity Offerings"/>
      <sheetName val="13 Notes"/>
      <sheetName val="UK &amp; Foreign Loc"/>
      <sheetName val="PCS Fee Based Revenue"/>
      <sheetName val="CCI Stock Prices"/>
      <sheetName val="Total Shareholder Return"/>
      <sheetName val="ROE"/>
      <sheetName val="Normalized ROE"/>
      <sheetName val="PE Multiple"/>
      <sheetName val="Book Value"/>
      <sheetName val="PB Ratio"/>
      <sheetName val="Div Yield &amp; Payout Ratio"/>
      <sheetName val="NHI"/>
      <sheetName val="Sheet1"/>
    </sheetNames>
    <sheetDataSet>
      <sheetData sheetId="12">
        <row r="18">
          <cell r="I18">
            <v>155</v>
          </cell>
          <cell r="J18">
            <v>143</v>
          </cell>
          <cell r="K18">
            <v>140</v>
          </cell>
          <cell r="L18">
            <v>142</v>
          </cell>
          <cell r="M18">
            <v>137</v>
          </cell>
          <cell r="N18">
            <v>138</v>
          </cell>
          <cell r="O18">
            <v>136</v>
          </cell>
          <cell r="P18">
            <v>124</v>
          </cell>
          <cell r="Q18">
            <v>111</v>
          </cell>
          <cell r="R18">
            <v>114</v>
          </cell>
          <cell r="S18">
            <v>117</v>
          </cell>
          <cell r="T18">
            <v>127</v>
          </cell>
          <cell r="U18">
            <v>125</v>
          </cell>
          <cell r="V18">
            <v>125</v>
          </cell>
          <cell r="W18">
            <v>116</v>
          </cell>
          <cell r="X18">
            <v>109</v>
          </cell>
          <cell r="Y18">
            <v>104</v>
          </cell>
          <cell r="Z18">
            <v>93</v>
          </cell>
          <cell r="AA18">
            <v>95</v>
          </cell>
          <cell r="AB18">
            <v>89</v>
          </cell>
          <cell r="AC18">
            <v>88</v>
          </cell>
        </row>
      </sheetData>
      <sheetData sheetId="25">
        <row r="83">
          <cell r="B83">
            <v>527556.9871</v>
          </cell>
          <cell r="C83">
            <v>542096.6494333333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Cover"/>
      <sheetName val="2 Table of Contents"/>
      <sheetName val="1 Financial Highlights"/>
      <sheetName val="2 Consolidated IS"/>
      <sheetName val="3 Canaccord Genuity"/>
      <sheetName val="4 Canaccord Wealth Mgmt"/>
      <sheetName val="5 Other"/>
      <sheetName val="6 Geographic Canada"/>
      <sheetName val="7 Geographic UK"/>
      <sheetName val="8 Geographic US"/>
      <sheetName val="9 Geographic Other Foreign Loc"/>
      <sheetName val="10 Balance Sheet"/>
      <sheetName val="11 Misc Operating Stats"/>
      <sheetName val="12 Equity Offerings"/>
      <sheetName val="13 Notes"/>
      <sheetName val="PCS Fee Based Revenue"/>
      <sheetName val="CCI Stock Prices"/>
      <sheetName val="Total Shareholder Return"/>
      <sheetName val="ROE"/>
      <sheetName val="Normalized ROE"/>
      <sheetName val="PE Multiple"/>
      <sheetName val="Book Value"/>
      <sheetName val="PB Ratio"/>
      <sheetName val="Div Yield &amp; Payout Ratio"/>
      <sheetName val="NHI"/>
      <sheetName val="UK &amp; Foreign Loc"/>
    </sheetNames>
    <sheetDataSet>
      <sheetData sheetId="12">
        <row r="18">
          <cell r="AL18">
            <v>113</v>
          </cell>
          <cell r="AM18">
            <v>124</v>
          </cell>
          <cell r="AN18">
            <v>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3.v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workbookViewId="0" topLeftCell="A1">
      <selection activeCell="K30" sqref="K30"/>
    </sheetView>
  </sheetViews>
  <sheetFormatPr defaultColWidth="9.140625" defaultRowHeight="12.75"/>
  <cols>
    <col min="1" max="1" width="11.7109375" style="0" customWidth="1"/>
    <col min="2" max="2" width="12.7109375" style="0" customWidth="1"/>
    <col min="3" max="3" width="9.28125" style="0" customWidth="1"/>
    <col min="4" max="4" width="6.7109375" style="0" customWidth="1"/>
    <col min="5" max="5" width="20.00390625" style="0" customWidth="1"/>
    <col min="6" max="6" width="6.7109375" style="0" customWidth="1"/>
    <col min="7" max="7" width="11.140625" style="0" customWidth="1"/>
    <col min="8" max="8" width="11.00390625" style="0" customWidth="1"/>
    <col min="9" max="9" width="16.00390625" style="0" customWidth="1"/>
    <col min="12" max="14" width="10.00390625" style="0" customWidth="1"/>
  </cols>
  <sheetData>
    <row r="2" ht="12.75">
      <c r="E2" s="91"/>
    </row>
    <row r="5" ht="12.75">
      <c r="I5" t="s">
        <v>46</v>
      </c>
    </row>
    <row r="6" ht="12.75">
      <c r="C6" s="92"/>
    </row>
    <row r="11" spans="20:36" ht="12.75">
      <c r="T11" s="104"/>
      <c r="U11" s="104"/>
      <c r="V11" s="104"/>
      <c r="W11" s="104"/>
      <c r="X11" s="104"/>
      <c r="Y11" s="104"/>
      <c r="Z11" s="104"/>
      <c r="AA11" s="104"/>
      <c r="AB11" s="104"/>
      <c r="AC11" s="104"/>
      <c r="AD11" s="104"/>
      <c r="AE11" s="104"/>
      <c r="AF11" s="104"/>
      <c r="AG11" s="104"/>
      <c r="AH11" s="104"/>
      <c r="AI11" s="104"/>
      <c r="AJ11" s="104"/>
    </row>
    <row r="12" spans="20:36" ht="12.75">
      <c r="T12" s="104"/>
      <c r="U12" s="104"/>
      <c r="V12" s="104"/>
      <c r="W12" s="104"/>
      <c r="X12" s="104"/>
      <c r="Y12" s="104"/>
      <c r="Z12" s="104"/>
      <c r="AA12" s="104"/>
      <c r="AB12" s="104"/>
      <c r="AC12" s="104"/>
      <c r="AD12" s="104"/>
      <c r="AE12" s="104"/>
      <c r="AF12" s="104"/>
      <c r="AG12" s="104"/>
      <c r="AH12" s="104"/>
      <c r="AI12" s="104"/>
      <c r="AJ12" s="104"/>
    </row>
    <row r="13" spans="4:36" ht="28.5" customHeight="1">
      <c r="D13" s="93"/>
      <c r="E13" s="1375" t="s">
        <v>483</v>
      </c>
      <c r="F13" s="93"/>
      <c r="G13" s="93"/>
      <c r="T13" s="104"/>
      <c r="U13" s="104"/>
      <c r="V13" s="104"/>
      <c r="W13" s="104"/>
      <c r="X13" s="104"/>
      <c r="Y13" s="104"/>
      <c r="Z13" s="104"/>
      <c r="AA13" s="104"/>
      <c r="AB13" s="104"/>
      <c r="AC13" s="104"/>
      <c r="AD13" s="104"/>
      <c r="AE13" s="104"/>
      <c r="AF13" s="104"/>
      <c r="AG13" s="104"/>
      <c r="AH13" s="104"/>
      <c r="AI13" s="104"/>
      <c r="AJ13" s="104"/>
    </row>
    <row r="14" spans="20:36" ht="12.75">
      <c r="T14" s="104"/>
      <c r="U14" s="104"/>
      <c r="V14" s="104"/>
      <c r="W14" s="104"/>
      <c r="X14" s="104"/>
      <c r="Y14" s="104"/>
      <c r="Z14" s="104"/>
      <c r="AA14" s="104"/>
      <c r="AB14" s="104"/>
      <c r="AC14" s="104"/>
      <c r="AD14" s="104"/>
      <c r="AE14" s="104"/>
      <c r="AF14" s="104"/>
      <c r="AG14" s="104"/>
      <c r="AH14" s="104"/>
      <c r="AI14" s="104"/>
      <c r="AJ14" s="104"/>
    </row>
    <row r="15" spans="20:36" ht="12.75">
      <c r="T15" s="104"/>
      <c r="U15" s="104"/>
      <c r="V15" s="104"/>
      <c r="W15" s="104"/>
      <c r="X15" s="104"/>
      <c r="Y15" s="104"/>
      <c r="Z15" s="104"/>
      <c r="AA15" s="104"/>
      <c r="AB15" s="104"/>
      <c r="AC15" s="104"/>
      <c r="AD15" s="104"/>
      <c r="AE15" s="104"/>
      <c r="AF15" s="104"/>
      <c r="AG15" s="104"/>
      <c r="AH15" s="104"/>
      <c r="AI15" s="104"/>
      <c r="AJ15" s="104"/>
    </row>
    <row r="16" spans="2:36" ht="25.5" customHeight="1">
      <c r="B16" s="1418" t="s">
        <v>47</v>
      </c>
      <c r="C16" s="1417"/>
      <c r="D16" s="1417"/>
      <c r="E16" s="1417"/>
      <c r="F16" s="1417"/>
      <c r="G16" s="1417"/>
      <c r="H16" s="1417"/>
      <c r="T16" s="104"/>
      <c r="U16" s="104"/>
      <c r="V16" s="104"/>
      <c r="W16" s="104"/>
      <c r="X16" s="104"/>
      <c r="Y16" s="104"/>
      <c r="Z16" s="104"/>
      <c r="AA16" s="104"/>
      <c r="AB16" s="104"/>
      <c r="AC16" s="104"/>
      <c r="AD16" s="104"/>
      <c r="AE16" s="104"/>
      <c r="AF16" s="104"/>
      <c r="AG16" s="104"/>
      <c r="AH16" s="104"/>
      <c r="AI16" s="104"/>
      <c r="AJ16" s="104"/>
    </row>
    <row r="17" spans="20:36" ht="12.75">
      <c r="T17" s="104"/>
      <c r="U17" s="104"/>
      <c r="V17" s="104"/>
      <c r="W17" s="104"/>
      <c r="X17" s="104"/>
      <c r="Y17" s="104"/>
      <c r="Z17" s="104"/>
      <c r="AA17" s="104"/>
      <c r="AB17" s="104"/>
      <c r="AC17" s="104"/>
      <c r="AD17" s="104"/>
      <c r="AE17" s="104"/>
      <c r="AF17" s="104"/>
      <c r="AG17" s="104"/>
      <c r="AH17" s="104"/>
      <c r="AI17" s="104"/>
      <c r="AJ17" s="104"/>
    </row>
    <row r="18" spans="5:36" ht="20.25">
      <c r="E18" s="95" t="s">
        <v>498</v>
      </c>
      <c r="T18" s="104"/>
      <c r="U18" s="104"/>
      <c r="V18" s="104"/>
      <c r="W18" s="104"/>
      <c r="X18" s="104"/>
      <c r="Y18" s="104"/>
      <c r="Z18" s="104"/>
      <c r="AA18" s="104"/>
      <c r="AB18" s="104"/>
      <c r="AC18" s="104"/>
      <c r="AD18" s="104"/>
      <c r="AE18" s="104"/>
      <c r="AF18" s="104"/>
      <c r="AG18" s="104"/>
      <c r="AH18" s="104"/>
      <c r="AI18" s="104"/>
      <c r="AJ18" s="104"/>
    </row>
    <row r="19" spans="2:36" ht="18" customHeight="1">
      <c r="B19" t="s">
        <v>46</v>
      </c>
      <c r="D19" s="96"/>
      <c r="E19" s="753" t="s">
        <v>499</v>
      </c>
      <c r="F19" s="96"/>
      <c r="T19" s="104"/>
      <c r="U19" s="104"/>
      <c r="V19" s="104"/>
      <c r="W19" s="104"/>
      <c r="X19" s="104"/>
      <c r="Y19" s="104"/>
      <c r="Z19" s="104"/>
      <c r="AA19" s="104"/>
      <c r="AB19" s="104"/>
      <c r="AC19" s="104"/>
      <c r="AD19" s="104"/>
      <c r="AE19" s="104"/>
      <c r="AF19" s="104"/>
      <c r="AG19" s="104"/>
      <c r="AH19" s="104"/>
      <c r="AI19" s="104"/>
      <c r="AJ19" s="104"/>
    </row>
    <row r="20" spans="5:36" ht="12.75">
      <c r="E20" s="97"/>
      <c r="T20" s="104"/>
      <c r="U20" s="104"/>
      <c r="V20" s="104"/>
      <c r="W20" s="104"/>
      <c r="X20" s="104"/>
      <c r="Y20" s="104"/>
      <c r="Z20" s="104"/>
      <c r="AA20" s="104"/>
      <c r="AB20" s="104"/>
      <c r="AC20" s="104"/>
      <c r="AD20" s="104"/>
      <c r="AE20" s="104"/>
      <c r="AF20" s="104"/>
      <c r="AG20" s="104"/>
      <c r="AH20" s="104"/>
      <c r="AI20" s="104"/>
      <c r="AJ20" s="104"/>
    </row>
    <row r="21" spans="5:36" ht="12.75">
      <c r="E21" s="98" t="s">
        <v>48</v>
      </c>
      <c r="T21" s="104"/>
      <c r="U21" s="104"/>
      <c r="V21" s="104"/>
      <c r="W21" s="104"/>
      <c r="X21" s="104"/>
      <c r="Y21" s="104"/>
      <c r="Z21" s="104"/>
      <c r="AA21" s="104"/>
      <c r="AB21" s="104"/>
      <c r="AC21" s="104"/>
      <c r="AD21" s="104"/>
      <c r="AE21" s="104"/>
      <c r="AF21" s="104"/>
      <c r="AG21" s="104"/>
      <c r="AH21" s="104"/>
      <c r="AI21" s="104"/>
      <c r="AJ21" s="104"/>
    </row>
    <row r="22" spans="20:36" ht="12.75">
      <c r="T22" s="104"/>
      <c r="U22" s="104"/>
      <c r="V22" s="104"/>
      <c r="W22" s="104"/>
      <c r="X22" s="104"/>
      <c r="Y22" s="104"/>
      <c r="Z22" s="104"/>
      <c r="AA22" s="104"/>
      <c r="AB22" s="104"/>
      <c r="AC22" s="104"/>
      <c r="AD22" s="104"/>
      <c r="AE22" s="104"/>
      <c r="AF22" s="104"/>
      <c r="AG22" s="104"/>
      <c r="AH22" s="104"/>
      <c r="AI22" s="104"/>
      <c r="AJ22" s="104"/>
    </row>
    <row r="23" spans="5:36" ht="29.25" customHeight="1">
      <c r="E23" s="463"/>
      <c r="T23" s="104"/>
      <c r="U23" s="104"/>
      <c r="V23" s="104"/>
      <c r="W23" s="104"/>
      <c r="X23" s="104"/>
      <c r="Y23" s="104"/>
      <c r="Z23" s="104"/>
      <c r="AA23" s="104"/>
      <c r="AB23" s="104"/>
      <c r="AC23" s="104"/>
      <c r="AD23" s="104"/>
      <c r="AE23" s="104"/>
      <c r="AF23" s="104"/>
      <c r="AG23" s="104"/>
      <c r="AH23" s="104"/>
      <c r="AI23" s="104"/>
      <c r="AJ23" s="104"/>
    </row>
    <row r="24" spans="2:36" ht="23.25" customHeight="1">
      <c r="B24" s="1416" t="s">
        <v>49</v>
      </c>
      <c r="C24" s="1417"/>
      <c r="D24" s="1417"/>
      <c r="E24" s="1417"/>
      <c r="F24" s="1417"/>
      <c r="G24" s="1417"/>
      <c r="H24" s="1417"/>
      <c r="T24" s="104"/>
      <c r="U24" s="104"/>
      <c r="V24" s="104"/>
      <c r="W24" s="104"/>
      <c r="X24" s="104"/>
      <c r="Y24" s="104"/>
      <c r="Z24" s="104"/>
      <c r="AA24" s="104"/>
      <c r="AB24" s="104"/>
      <c r="AC24" s="104"/>
      <c r="AD24" s="104"/>
      <c r="AE24" s="104"/>
      <c r="AF24" s="104"/>
      <c r="AG24" s="104"/>
      <c r="AH24" s="104"/>
      <c r="AI24" s="104"/>
      <c r="AJ24" s="104"/>
    </row>
    <row r="25" spans="20:36" ht="12.75">
      <c r="T25" s="104"/>
      <c r="U25" s="104"/>
      <c r="V25" s="104"/>
      <c r="W25" s="104"/>
      <c r="X25" s="104"/>
      <c r="Y25" s="104"/>
      <c r="Z25" s="104"/>
      <c r="AA25" s="104"/>
      <c r="AB25" s="104"/>
      <c r="AC25" s="104"/>
      <c r="AD25" s="104"/>
      <c r="AE25" s="104"/>
      <c r="AF25" s="104"/>
      <c r="AG25" s="104"/>
      <c r="AH25" s="104"/>
      <c r="AI25" s="104"/>
      <c r="AJ25" s="104"/>
    </row>
    <row r="26" spans="5:36" ht="12.75">
      <c r="E26" s="98" t="s">
        <v>50</v>
      </c>
      <c r="T26" s="104"/>
      <c r="U26" s="104"/>
      <c r="V26" s="104"/>
      <c r="W26" s="104"/>
      <c r="X26" s="104"/>
      <c r="Y26" s="104"/>
      <c r="Z26" s="104"/>
      <c r="AA26" s="104"/>
      <c r="AB26" s="104"/>
      <c r="AC26" s="104"/>
      <c r="AD26" s="104"/>
      <c r="AE26" s="104"/>
      <c r="AF26" s="104"/>
      <c r="AG26" s="104"/>
      <c r="AH26" s="104"/>
      <c r="AI26" s="104"/>
      <c r="AJ26" s="104"/>
    </row>
    <row r="27" spans="20:36" ht="12.75">
      <c r="T27" s="104"/>
      <c r="U27" s="104"/>
      <c r="V27" s="104"/>
      <c r="W27" s="104"/>
      <c r="X27" s="104"/>
      <c r="Y27" s="104"/>
      <c r="Z27" s="104"/>
      <c r="AA27" s="104"/>
      <c r="AB27" s="104"/>
      <c r="AC27" s="104"/>
      <c r="AD27" s="104"/>
      <c r="AE27" s="104"/>
      <c r="AF27" s="104"/>
      <c r="AG27" s="104"/>
      <c r="AH27" s="104"/>
      <c r="AI27" s="104"/>
      <c r="AJ27" s="104"/>
    </row>
    <row r="28" spans="1:36" ht="12.75" customHeight="1">
      <c r="A28" s="710"/>
      <c r="B28" s="104" t="s">
        <v>423</v>
      </c>
      <c r="C28" s="104"/>
      <c r="D28" s="108"/>
      <c r="E28" s="1324" t="s">
        <v>424</v>
      </c>
      <c r="F28" s="99"/>
      <c r="G28" s="104"/>
      <c r="H28" s="108" t="s">
        <v>425</v>
      </c>
      <c r="T28" s="104"/>
      <c r="U28" s="104"/>
      <c r="V28" s="104"/>
      <c r="W28" s="104"/>
      <c r="X28" s="104"/>
      <c r="Y28" s="104"/>
      <c r="Z28" s="104"/>
      <c r="AA28" s="104"/>
      <c r="AB28" s="104"/>
      <c r="AC28" s="104"/>
      <c r="AD28" s="104"/>
      <c r="AE28" s="104"/>
      <c r="AF28" s="104"/>
      <c r="AG28" s="104"/>
      <c r="AH28" s="104"/>
      <c r="AI28" s="104"/>
      <c r="AJ28" s="104"/>
    </row>
    <row r="29" spans="3:36" ht="12.75" customHeight="1">
      <c r="C29" s="1415"/>
      <c r="D29" s="1415"/>
      <c r="E29" s="1415"/>
      <c r="F29" s="1415"/>
      <c r="G29" s="99"/>
      <c r="T29" s="104"/>
      <c r="U29" s="104"/>
      <c r="V29" s="104"/>
      <c r="W29" s="104"/>
      <c r="X29" s="104"/>
      <c r="Y29" s="104"/>
      <c r="Z29" s="104"/>
      <c r="AA29" s="104"/>
      <c r="AB29" s="104"/>
      <c r="AC29" s="104"/>
      <c r="AD29" s="104"/>
      <c r="AE29" s="104"/>
      <c r="AF29" s="104"/>
      <c r="AG29" s="104"/>
      <c r="AH29" s="104"/>
      <c r="AI29" s="104"/>
      <c r="AJ29" s="104"/>
    </row>
    <row r="30" spans="20:36" ht="12.75">
      <c r="T30" s="104"/>
      <c r="U30" s="104"/>
      <c r="V30" s="104"/>
      <c r="W30" s="104"/>
      <c r="X30" s="104"/>
      <c r="Y30" s="104"/>
      <c r="Z30" s="104"/>
      <c r="AA30" s="104"/>
      <c r="AB30" s="104"/>
      <c r="AC30" s="104"/>
      <c r="AD30" s="104"/>
      <c r="AE30" s="104"/>
      <c r="AF30" s="104"/>
      <c r="AG30" s="104"/>
      <c r="AH30" s="104"/>
      <c r="AI30" s="104"/>
      <c r="AJ30" s="104"/>
    </row>
    <row r="31" spans="4:36" ht="12.75">
      <c r="D31" s="3"/>
      <c r="E31" s="100"/>
      <c r="F31" s="3"/>
      <c r="G31" s="3"/>
      <c r="T31" s="104"/>
      <c r="U31" s="104"/>
      <c r="V31" s="104"/>
      <c r="W31" s="104"/>
      <c r="X31" s="104"/>
      <c r="Y31" s="104"/>
      <c r="Z31" s="104"/>
      <c r="AA31" s="104"/>
      <c r="AB31" s="104"/>
      <c r="AC31" s="104"/>
      <c r="AD31" s="104"/>
      <c r="AE31" s="104"/>
      <c r="AF31" s="104"/>
      <c r="AG31" s="104"/>
      <c r="AH31" s="104"/>
      <c r="AI31" s="104"/>
      <c r="AJ31" s="104"/>
    </row>
    <row r="32" spans="4:36" ht="12.75">
      <c r="D32" s="2"/>
      <c r="E32" s="101"/>
      <c r="F32" s="2"/>
      <c r="G32" s="3"/>
      <c r="T32" s="104"/>
      <c r="U32" s="104"/>
      <c r="V32" s="104"/>
      <c r="W32" s="104"/>
      <c r="X32" s="104"/>
      <c r="Y32" s="104"/>
      <c r="Z32" s="104"/>
      <c r="AA32" s="104"/>
      <c r="AB32" s="104"/>
      <c r="AC32" s="104"/>
      <c r="AD32" s="104"/>
      <c r="AE32" s="104"/>
      <c r="AF32" s="104"/>
      <c r="AG32" s="104"/>
      <c r="AH32" s="104"/>
      <c r="AI32" s="104"/>
      <c r="AJ32" s="104"/>
    </row>
    <row r="33" spans="4:36" ht="12.75">
      <c r="D33" s="3"/>
      <c r="E33" s="102"/>
      <c r="F33" s="3"/>
      <c r="G33" s="3"/>
      <c r="T33" s="104"/>
      <c r="U33" s="104"/>
      <c r="V33" s="104"/>
      <c r="W33" s="104"/>
      <c r="X33" s="104"/>
      <c r="Y33" s="104"/>
      <c r="Z33" s="104"/>
      <c r="AA33" s="104"/>
      <c r="AB33" s="104"/>
      <c r="AC33" s="104"/>
      <c r="AD33" s="104"/>
      <c r="AE33" s="104"/>
      <c r="AF33" s="104"/>
      <c r="AG33" s="104"/>
      <c r="AH33" s="104"/>
      <c r="AI33" s="104"/>
      <c r="AJ33" s="104"/>
    </row>
    <row r="34" spans="4:36" ht="12.75">
      <c r="D34" s="3"/>
      <c r="E34" s="103"/>
      <c r="F34" s="3"/>
      <c r="G34" s="3"/>
      <c r="T34" s="104"/>
      <c r="U34" s="104"/>
      <c r="V34" s="104"/>
      <c r="W34" s="104"/>
      <c r="X34" s="104"/>
      <c r="Y34" s="104"/>
      <c r="Z34" s="104"/>
      <c r="AA34" s="104"/>
      <c r="AB34" s="104"/>
      <c r="AC34" s="104"/>
      <c r="AD34" s="104"/>
      <c r="AE34" s="104"/>
      <c r="AF34" s="104"/>
      <c r="AG34" s="104"/>
      <c r="AH34" s="104"/>
      <c r="AI34" s="104"/>
      <c r="AJ34" s="104"/>
    </row>
    <row r="35" spans="20:36" ht="12.75">
      <c r="T35" s="104"/>
      <c r="U35" s="104"/>
      <c r="V35" s="104"/>
      <c r="W35" s="104"/>
      <c r="X35" s="104"/>
      <c r="Y35" s="104"/>
      <c r="Z35" s="104"/>
      <c r="AA35" s="104"/>
      <c r="AB35" s="104"/>
      <c r="AC35" s="104"/>
      <c r="AD35" s="104"/>
      <c r="AE35" s="104"/>
      <c r="AF35" s="104"/>
      <c r="AG35" s="104"/>
      <c r="AH35" s="104"/>
      <c r="AI35" s="104"/>
      <c r="AJ35" s="104"/>
    </row>
    <row r="37" ht="12.75">
      <c r="G37" t="s">
        <v>46</v>
      </c>
    </row>
    <row r="42" ht="12.75">
      <c r="G42" s="104"/>
    </row>
    <row r="43" ht="12.75">
      <c r="G43" s="104"/>
    </row>
    <row r="44" ht="12.75">
      <c r="G44" s="104"/>
    </row>
    <row r="45" spans="2:7" ht="14.25">
      <c r="B45" s="126"/>
      <c r="G45" s="104"/>
    </row>
    <row r="46" ht="12.75">
      <c r="G46" s="104"/>
    </row>
    <row r="47" ht="12.75">
      <c r="G47" s="104"/>
    </row>
    <row r="51" spans="9:11" ht="12.75">
      <c r="I51" s="104"/>
      <c r="J51" s="104"/>
      <c r="K51" s="104"/>
    </row>
    <row r="52" spans="9:11" ht="12.75">
      <c r="I52" s="104"/>
      <c r="J52" s="104"/>
      <c r="K52" s="104"/>
    </row>
    <row r="53" spans="9:11" ht="12.75">
      <c r="I53" s="104"/>
      <c r="J53" s="104"/>
      <c r="K53" s="104"/>
    </row>
    <row r="54" spans="1:33" ht="12.75">
      <c r="A54" s="83"/>
      <c r="I54" s="104"/>
      <c r="J54" s="104"/>
      <c r="K54" s="104"/>
      <c r="M54" s="105"/>
      <c r="AA54" s="104"/>
      <c r="AG54" s="105">
        <v>0.233</v>
      </c>
    </row>
    <row r="55" spans="1:33" ht="12.75">
      <c r="A55" s="106"/>
      <c r="B55" s="107"/>
      <c r="C55" s="107"/>
      <c r="D55" s="107"/>
      <c r="E55" s="107"/>
      <c r="F55" s="107"/>
      <c r="G55" s="107"/>
      <c r="H55" s="107"/>
      <c r="I55" s="108"/>
      <c r="J55" s="108"/>
      <c r="K55" s="108"/>
      <c r="L55" s="107"/>
      <c r="M55" s="107"/>
      <c r="N55" s="107"/>
      <c r="O55" s="107"/>
      <c r="P55" s="107"/>
      <c r="Q55" s="107"/>
      <c r="R55" s="107"/>
      <c r="S55" s="107"/>
      <c r="T55" s="107"/>
      <c r="U55" s="107"/>
      <c r="V55" s="107"/>
      <c r="W55" s="107"/>
      <c r="X55" s="107"/>
      <c r="AA55" s="104"/>
      <c r="AG55">
        <v>7.8</v>
      </c>
    </row>
    <row r="56" spans="9:33" ht="12.75">
      <c r="I56" s="104"/>
      <c r="J56" s="104"/>
      <c r="K56" s="104"/>
      <c r="AA56" s="104"/>
      <c r="AG56">
        <v>1.9</v>
      </c>
    </row>
    <row r="57" spans="9:11" ht="12.75">
      <c r="I57" s="104"/>
      <c r="J57" s="104"/>
      <c r="K57" s="104"/>
    </row>
    <row r="61" spans="20:34" ht="12.75">
      <c r="T61" s="109"/>
      <c r="AH61" s="109" t="s">
        <v>51</v>
      </c>
    </row>
  </sheetData>
  <sheetProtection/>
  <mergeCells count="4">
    <mergeCell ref="C29:D29"/>
    <mergeCell ref="B24:H24"/>
    <mergeCell ref="B16:H16"/>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3:BI97"/>
  <sheetViews>
    <sheetView zoomScale="60" zoomScaleNormal="60" zoomScaleSheetLayoutView="90" workbookViewId="0" topLeftCell="A7">
      <selection activeCell="A1" sqref="A1"/>
    </sheetView>
  </sheetViews>
  <sheetFormatPr defaultColWidth="9.140625" defaultRowHeight="12.75"/>
  <cols>
    <col min="1" max="1" width="2.7109375" style="0" customWidth="1"/>
    <col min="2" max="2" width="46.57421875" style="0" customWidth="1"/>
    <col min="3" max="4" width="9.7109375" style="0" customWidth="1"/>
    <col min="5" max="5" width="1.57421875" style="3" customWidth="1"/>
    <col min="6" max="6" width="9.28125" style="3" hidden="1" customWidth="1"/>
    <col min="7" max="8" width="9.28125" style="3" customWidth="1"/>
    <col min="9" max="9" width="9.421875" style="3" customWidth="1"/>
    <col min="10" max="12" width="9.28125" style="3" customWidth="1"/>
    <col min="13" max="14" width="9.421875" style="3" customWidth="1"/>
    <col min="15" max="15" width="9.28125" style="3" customWidth="1"/>
    <col min="16" max="16" width="9.28125" style="3" hidden="1" customWidth="1"/>
    <col min="17" max="18" width="9.421875" style="3" hidden="1" customWidth="1"/>
    <col min="19" max="26" width="9.28125" style="3" hidden="1" customWidth="1"/>
    <col min="27" max="28" width="9.7109375" style="3" hidden="1" customWidth="1"/>
    <col min="29" max="37" width="9.7109375" style="0" hidden="1" customWidth="1"/>
    <col min="38" max="38" width="1.57421875" style="0" customWidth="1"/>
    <col min="39" max="41" width="10.00390625" style="0" customWidth="1"/>
    <col min="42" max="42" width="9.7109375" style="0" customWidth="1"/>
    <col min="43" max="43" width="1.57421875" style="0" customWidth="1"/>
    <col min="44" max="46" width="9.57421875" style="0" customWidth="1"/>
    <col min="47" max="48" width="9.7109375" style="0" customWidth="1"/>
    <col min="49" max="53" width="9.7109375" style="0" hidden="1" customWidth="1"/>
    <col min="54" max="54" width="1.57421875" style="0" customWidth="1"/>
  </cols>
  <sheetData>
    <row r="1" ht="9" customHeight="1"/>
    <row r="2" ht="12.75"/>
    <row r="3" ht="12.75">
      <c r="AR3" s="587"/>
    </row>
    <row r="4" ht="12.75">
      <c r="AR4" s="587"/>
    </row>
    <row r="5" spans="1:39" ht="6.75" customHeight="1">
      <c r="A5" s="3"/>
      <c r="B5" s="3"/>
      <c r="C5" s="3"/>
      <c r="D5" s="3"/>
      <c r="AC5" s="3"/>
      <c r="AD5" s="3"/>
      <c r="AE5" s="3"/>
      <c r="AM5" s="587"/>
    </row>
    <row r="6" spans="1:39" ht="18" customHeight="1">
      <c r="A6" s="134" t="s">
        <v>461</v>
      </c>
      <c r="B6" s="3"/>
      <c r="C6" s="3"/>
      <c r="D6" s="3"/>
      <c r="F6" s="555"/>
      <c r="G6" s="555"/>
      <c r="H6" s="555"/>
      <c r="I6" s="555"/>
      <c r="J6" s="555"/>
      <c r="K6" s="555"/>
      <c r="L6" s="555"/>
      <c r="M6" s="555"/>
      <c r="AC6" s="3"/>
      <c r="AD6" s="3"/>
      <c r="AE6" s="3"/>
      <c r="AM6" s="587"/>
    </row>
    <row r="7" spans="1:39" ht="18" customHeight="1">
      <c r="A7" s="166" t="s">
        <v>382</v>
      </c>
      <c r="B7" s="5"/>
      <c r="C7" s="5"/>
      <c r="D7" s="5"/>
      <c r="E7" s="5"/>
      <c r="F7" s="5"/>
      <c r="G7" s="5"/>
      <c r="H7" s="5"/>
      <c r="I7" s="5"/>
      <c r="J7" s="5"/>
      <c r="K7" s="5"/>
      <c r="L7" s="5"/>
      <c r="M7" s="5"/>
      <c r="N7" s="5"/>
      <c r="O7" s="5"/>
      <c r="P7" s="5"/>
      <c r="Q7" s="5"/>
      <c r="R7" s="5"/>
      <c r="S7" s="5"/>
      <c r="T7" s="5"/>
      <c r="U7" s="5"/>
      <c r="V7" s="5"/>
      <c r="W7" s="5"/>
      <c r="X7" s="5"/>
      <c r="Y7" s="5"/>
      <c r="Z7" s="5"/>
      <c r="AA7" s="5"/>
      <c r="AB7" s="5"/>
      <c r="AC7" s="3"/>
      <c r="AD7" s="3"/>
      <c r="AE7" s="3"/>
      <c r="AM7" s="602"/>
    </row>
    <row r="8" spans="1:31" ht="15">
      <c r="A8" s="788" t="s">
        <v>339</v>
      </c>
      <c r="B8" s="5"/>
      <c r="C8" s="5"/>
      <c r="D8" s="5"/>
      <c r="E8" s="5"/>
      <c r="F8" s="5"/>
      <c r="G8" s="5"/>
      <c r="H8" s="5"/>
      <c r="I8" s="5"/>
      <c r="J8" s="5"/>
      <c r="K8" s="5"/>
      <c r="L8" s="5"/>
      <c r="M8" s="5"/>
      <c r="N8" s="5"/>
      <c r="O8" s="5"/>
      <c r="P8" s="5"/>
      <c r="Q8" s="5"/>
      <c r="R8" s="5"/>
      <c r="S8" s="5"/>
      <c r="T8" s="5"/>
      <c r="U8" s="5"/>
      <c r="V8" s="5"/>
      <c r="W8" s="5"/>
      <c r="X8" s="5"/>
      <c r="Y8" s="5"/>
      <c r="Z8" s="5"/>
      <c r="AA8" s="5"/>
      <c r="AB8" s="5"/>
      <c r="AC8" s="3"/>
      <c r="AD8" s="3"/>
      <c r="AE8" s="3"/>
    </row>
    <row r="9" spans="1:53" ht="9.75" customHeight="1">
      <c r="A9" s="2"/>
      <c r="B9" s="2"/>
      <c r="C9" s="2"/>
      <c r="D9" s="2"/>
      <c r="E9" s="2"/>
      <c r="F9" s="491"/>
      <c r="G9" s="491"/>
      <c r="H9" s="491"/>
      <c r="I9" s="2"/>
      <c r="J9" s="491"/>
      <c r="K9" s="491"/>
      <c r="L9" s="491"/>
      <c r="M9" s="2"/>
      <c r="N9" s="491"/>
      <c r="O9" s="2"/>
      <c r="P9" s="491"/>
      <c r="Q9" s="2"/>
      <c r="R9" s="491"/>
      <c r="S9" s="2"/>
      <c r="T9" s="491"/>
      <c r="U9" s="2"/>
      <c r="V9" s="491"/>
      <c r="W9" s="2"/>
      <c r="X9" s="491"/>
      <c r="Y9" s="2"/>
      <c r="Z9" s="491"/>
      <c r="AA9" s="2"/>
      <c r="AB9" s="2"/>
      <c r="AC9" s="3"/>
      <c r="AD9" s="3"/>
      <c r="AE9" s="3"/>
      <c r="AO9" s="626"/>
      <c r="AP9" s="626"/>
      <c r="AY9" s="3"/>
      <c r="AZ9" s="3"/>
      <c r="BA9" s="3"/>
    </row>
    <row r="10" spans="1:54" ht="12.75">
      <c r="A10" s="6" t="s">
        <v>1</v>
      </c>
      <c r="B10" s="7"/>
      <c r="C10" s="1437" t="s">
        <v>497</v>
      </c>
      <c r="D10" s="1438"/>
      <c r="E10" s="259"/>
      <c r="F10" s="477"/>
      <c r="G10" s="477"/>
      <c r="H10" s="477"/>
      <c r="I10" s="19"/>
      <c r="J10" s="477"/>
      <c r="K10" s="477"/>
      <c r="L10" s="477"/>
      <c r="M10" s="19"/>
      <c r="N10" s="17"/>
      <c r="O10" s="18"/>
      <c r="P10" s="477"/>
      <c r="Q10" s="19"/>
      <c r="R10" s="17"/>
      <c r="S10" s="18"/>
      <c r="T10" s="477"/>
      <c r="U10" s="19"/>
      <c r="W10" s="18"/>
      <c r="X10" s="2"/>
      <c r="Y10" s="19"/>
      <c r="Z10" s="18"/>
      <c r="AB10" s="477"/>
      <c r="AC10" s="19"/>
      <c r="AD10" s="18"/>
      <c r="AE10" s="18"/>
      <c r="AF10" s="18"/>
      <c r="AG10" s="18"/>
      <c r="AH10" s="22"/>
      <c r="AI10" s="19"/>
      <c r="AJ10" s="19"/>
      <c r="AK10" s="19"/>
      <c r="AL10" s="24"/>
      <c r="AM10" s="725" t="s">
        <v>406</v>
      </c>
      <c r="AN10" s="711"/>
      <c r="AO10" s="711" t="s">
        <v>480</v>
      </c>
      <c r="AP10" s="712"/>
      <c r="AQ10" s="15"/>
      <c r="AR10" s="88"/>
      <c r="AS10" s="88"/>
      <c r="AT10" s="88"/>
      <c r="AU10" s="88"/>
      <c r="AV10" s="88"/>
      <c r="AW10" s="17"/>
      <c r="AX10" s="22"/>
      <c r="AY10" s="88"/>
      <c r="AZ10" s="350"/>
      <c r="BA10" s="756"/>
      <c r="BB10" s="25"/>
    </row>
    <row r="11" spans="1:61" ht="13.5">
      <c r="A11" s="6" t="s">
        <v>2</v>
      </c>
      <c r="B11" s="7"/>
      <c r="C11" s="1439" t="s">
        <v>41</v>
      </c>
      <c r="D11" s="1459"/>
      <c r="E11" s="730"/>
      <c r="F11" s="21" t="s">
        <v>431</v>
      </c>
      <c r="G11" s="21" t="s">
        <v>430</v>
      </c>
      <c r="H11" s="21" t="s">
        <v>429</v>
      </c>
      <c r="I11" s="14" t="s">
        <v>427</v>
      </c>
      <c r="J11" s="21" t="s">
        <v>362</v>
      </c>
      <c r="K11" s="21" t="s">
        <v>363</v>
      </c>
      <c r="L11" s="21" t="s">
        <v>364</v>
      </c>
      <c r="M11" s="14" t="s">
        <v>365</v>
      </c>
      <c r="N11" s="20" t="s">
        <v>277</v>
      </c>
      <c r="O11" s="21" t="s">
        <v>278</v>
      </c>
      <c r="P11" s="21" t="s">
        <v>279</v>
      </c>
      <c r="Q11" s="14" t="s">
        <v>276</v>
      </c>
      <c r="R11" s="20" t="s">
        <v>222</v>
      </c>
      <c r="S11" s="21" t="s">
        <v>223</v>
      </c>
      <c r="T11" s="21" t="s">
        <v>224</v>
      </c>
      <c r="U11" s="14" t="s">
        <v>225</v>
      </c>
      <c r="V11" s="21" t="s">
        <v>141</v>
      </c>
      <c r="W11" s="21" t="s">
        <v>140</v>
      </c>
      <c r="X11" s="21" t="s">
        <v>139</v>
      </c>
      <c r="Y11" s="14" t="s">
        <v>138</v>
      </c>
      <c r="Z11" s="21" t="s">
        <v>91</v>
      </c>
      <c r="AA11" s="21" t="s">
        <v>92</v>
      </c>
      <c r="AB11" s="21" t="s">
        <v>93</v>
      </c>
      <c r="AC11" s="14" t="s">
        <v>32</v>
      </c>
      <c r="AD11" s="21" t="s">
        <v>33</v>
      </c>
      <c r="AE11" s="21" t="s">
        <v>34</v>
      </c>
      <c r="AF11" s="21" t="s">
        <v>35</v>
      </c>
      <c r="AG11" s="21" t="s">
        <v>36</v>
      </c>
      <c r="AH11" s="23" t="s">
        <v>37</v>
      </c>
      <c r="AI11" s="14" t="s">
        <v>38</v>
      </c>
      <c r="AJ11" s="14" t="s">
        <v>39</v>
      </c>
      <c r="AK11" s="14" t="s">
        <v>40</v>
      </c>
      <c r="AL11" s="259"/>
      <c r="AM11" s="21" t="s">
        <v>430</v>
      </c>
      <c r="AN11" s="21" t="s">
        <v>363</v>
      </c>
      <c r="AO11" s="1435" t="s">
        <v>41</v>
      </c>
      <c r="AP11" s="1436"/>
      <c r="AQ11" s="731"/>
      <c r="AR11" s="20" t="s">
        <v>367</v>
      </c>
      <c r="AS11" s="20" t="s">
        <v>285</v>
      </c>
      <c r="AT11" s="20" t="s">
        <v>143</v>
      </c>
      <c r="AU11" s="20" t="s">
        <v>142</v>
      </c>
      <c r="AV11" s="23" t="s">
        <v>45</v>
      </c>
      <c r="AW11" s="20" t="s">
        <v>42</v>
      </c>
      <c r="AX11" s="23" t="s">
        <v>43</v>
      </c>
      <c r="AY11" s="23" t="s">
        <v>165</v>
      </c>
      <c r="AZ11" s="23" t="s">
        <v>166</v>
      </c>
      <c r="BA11" s="20" t="s">
        <v>167</v>
      </c>
      <c r="BB11" s="25"/>
      <c r="BC11" s="3"/>
      <c r="BD11" s="3"/>
      <c r="BG11" s="3"/>
      <c r="BH11" s="3"/>
      <c r="BI11" s="3"/>
    </row>
    <row r="12" spans="1:61" ht="12.75">
      <c r="A12" s="6"/>
      <c r="B12" s="7"/>
      <c r="C12" s="694"/>
      <c r="D12" s="1264"/>
      <c r="E12" s="730"/>
      <c r="F12" s="697" t="s">
        <v>307</v>
      </c>
      <c r="G12" s="697" t="s">
        <v>307</v>
      </c>
      <c r="H12" s="697" t="s">
        <v>307</v>
      </c>
      <c r="I12" s="698" t="s">
        <v>307</v>
      </c>
      <c r="J12" s="697" t="s">
        <v>307</v>
      </c>
      <c r="K12" s="697" t="s">
        <v>307</v>
      </c>
      <c r="L12" s="697" t="s">
        <v>307</v>
      </c>
      <c r="M12" s="698" t="s">
        <v>307</v>
      </c>
      <c r="N12" s="696" t="s">
        <v>307</v>
      </c>
      <c r="O12" s="697" t="s">
        <v>307</v>
      </c>
      <c r="P12" s="697" t="s">
        <v>307</v>
      </c>
      <c r="Q12" s="698" t="s">
        <v>307</v>
      </c>
      <c r="R12" s="696" t="s">
        <v>307</v>
      </c>
      <c r="S12" s="697" t="s">
        <v>307</v>
      </c>
      <c r="T12" s="697" t="s">
        <v>307</v>
      </c>
      <c r="U12" s="698" t="s">
        <v>307</v>
      </c>
      <c r="V12" s="696" t="s">
        <v>308</v>
      </c>
      <c r="W12" s="697" t="s">
        <v>308</v>
      </c>
      <c r="X12" s="697" t="s">
        <v>308</v>
      </c>
      <c r="Y12" s="698" t="s">
        <v>308</v>
      </c>
      <c r="Z12" s="15"/>
      <c r="AA12" s="15"/>
      <c r="AB12" s="15"/>
      <c r="AC12" s="233"/>
      <c r="AD12" s="15"/>
      <c r="AE12" s="15"/>
      <c r="AF12" s="15"/>
      <c r="AG12" s="15"/>
      <c r="AH12" s="259"/>
      <c r="AI12" s="233"/>
      <c r="AJ12" s="233"/>
      <c r="AK12" s="233"/>
      <c r="AL12" s="259"/>
      <c r="AM12" s="696" t="s">
        <v>307</v>
      </c>
      <c r="AN12" s="697" t="s">
        <v>307</v>
      </c>
      <c r="AO12" s="713"/>
      <c r="AP12" s="714"/>
      <c r="AQ12" s="731"/>
      <c r="AR12" s="696" t="s">
        <v>307</v>
      </c>
      <c r="AS12" s="696" t="s">
        <v>307</v>
      </c>
      <c r="AT12" s="696" t="s">
        <v>307</v>
      </c>
      <c r="AU12" s="696" t="s">
        <v>308</v>
      </c>
      <c r="AV12" s="699" t="s">
        <v>308</v>
      </c>
      <c r="AW12" s="696" t="s">
        <v>308</v>
      </c>
      <c r="AX12" s="699" t="s">
        <v>308</v>
      </c>
      <c r="AY12" s="259"/>
      <c r="AZ12" s="259"/>
      <c r="BA12" s="232"/>
      <c r="BB12" s="25"/>
      <c r="BC12" s="3"/>
      <c r="BD12" s="3"/>
      <c r="BG12" s="3"/>
      <c r="BH12" s="3"/>
      <c r="BI12" s="3"/>
    </row>
    <row r="13" spans="1:59" ht="12.75" customHeight="1">
      <c r="A13" s="142" t="s">
        <v>68</v>
      </c>
      <c r="B13" s="8"/>
      <c r="C13" s="164"/>
      <c r="D13" s="166"/>
      <c r="E13" s="89"/>
      <c r="F13" s="148"/>
      <c r="G13" s="148"/>
      <c r="H13" s="148"/>
      <c r="I13" s="166"/>
      <c r="J13" s="148"/>
      <c r="K13" s="148"/>
      <c r="L13" s="148"/>
      <c r="M13" s="166"/>
      <c r="N13" s="148"/>
      <c r="O13" s="148"/>
      <c r="P13" s="148"/>
      <c r="Q13" s="166"/>
      <c r="R13" s="148"/>
      <c r="S13" s="148"/>
      <c r="T13" s="148"/>
      <c r="U13" s="166"/>
      <c r="V13" s="148"/>
      <c r="W13" s="148"/>
      <c r="X13" s="148"/>
      <c r="Y13" s="166"/>
      <c r="Z13" s="148"/>
      <c r="AA13" s="148"/>
      <c r="AB13" s="148"/>
      <c r="AC13" s="166"/>
      <c r="AD13" s="196"/>
      <c r="AE13" s="148"/>
      <c r="AF13" s="148"/>
      <c r="AH13" s="22"/>
      <c r="AI13" s="26"/>
      <c r="AJ13" s="26"/>
      <c r="AK13" s="19"/>
      <c r="AL13" s="89"/>
      <c r="AM13" s="148"/>
      <c r="AN13" s="148"/>
      <c r="AO13" s="148"/>
      <c r="AP13" s="166"/>
      <c r="AQ13" s="83"/>
      <c r="AR13" s="89"/>
      <c r="AS13" s="89"/>
      <c r="AT13" s="89"/>
      <c r="AU13" s="89"/>
      <c r="AV13" s="89"/>
      <c r="AW13" s="164"/>
      <c r="AX13" s="89"/>
      <c r="AY13" s="363"/>
      <c r="AZ13" s="363"/>
      <c r="BA13" s="757"/>
      <c r="BB13" s="25"/>
      <c r="BC13" s="3"/>
      <c r="BD13" s="3"/>
      <c r="BG13" s="3"/>
    </row>
    <row r="14" spans="1:59" ht="12.75" customHeight="1">
      <c r="A14" s="7"/>
      <c r="B14" s="227" t="s">
        <v>94</v>
      </c>
      <c r="C14" s="38">
        <v>-7051</v>
      </c>
      <c r="D14" s="30">
        <v>-0.20448942896087702</v>
      </c>
      <c r="E14" s="592"/>
      <c r="F14" s="465"/>
      <c r="G14" s="465">
        <v>27430</v>
      </c>
      <c r="H14" s="465">
        <v>24056</v>
      </c>
      <c r="I14" s="216">
        <v>26384</v>
      </c>
      <c r="J14" s="465">
        <v>31741</v>
      </c>
      <c r="K14" s="465">
        <v>34481</v>
      </c>
      <c r="L14" s="465">
        <v>35280</v>
      </c>
      <c r="M14" s="216">
        <v>36123</v>
      </c>
      <c r="N14" s="465">
        <v>51747</v>
      </c>
      <c r="O14" s="465">
        <v>43765</v>
      </c>
      <c r="P14" s="465">
        <v>46616</v>
      </c>
      <c r="Q14" s="216">
        <v>53600</v>
      </c>
      <c r="R14" s="465">
        <v>71218</v>
      </c>
      <c r="S14" s="465">
        <v>67044</v>
      </c>
      <c r="T14" s="465">
        <v>43529</v>
      </c>
      <c r="U14" s="216">
        <v>46307</v>
      </c>
      <c r="V14" s="465">
        <v>54086</v>
      </c>
      <c r="W14" s="465">
        <v>50900</v>
      </c>
      <c r="X14" s="465">
        <v>39596</v>
      </c>
      <c r="Y14" s="216">
        <v>39676</v>
      </c>
      <c r="Z14" s="465">
        <v>36739</v>
      </c>
      <c r="AA14" s="465">
        <v>33072</v>
      </c>
      <c r="AB14" s="465">
        <v>43016</v>
      </c>
      <c r="AC14" s="216">
        <v>56801</v>
      </c>
      <c r="AD14" s="175">
        <v>53686</v>
      </c>
      <c r="AE14" s="167">
        <v>60447</v>
      </c>
      <c r="AF14" s="167">
        <v>56588</v>
      </c>
      <c r="AG14" s="168">
        <v>74990</v>
      </c>
      <c r="AH14" s="177">
        <v>74727</v>
      </c>
      <c r="AI14" s="168">
        <v>67907</v>
      </c>
      <c r="AJ14" s="168">
        <v>54960</v>
      </c>
      <c r="AK14" s="168">
        <v>70996</v>
      </c>
      <c r="AL14" s="89"/>
      <c r="AM14" s="213">
        <v>77870</v>
      </c>
      <c r="AN14" s="213">
        <v>105884</v>
      </c>
      <c r="AO14" s="31">
        <v>-28014</v>
      </c>
      <c r="AP14" s="45">
        <v>-0.26457255109364963</v>
      </c>
      <c r="AQ14" s="83"/>
      <c r="AR14" s="201">
        <v>137625</v>
      </c>
      <c r="AS14" s="201">
        <v>195728</v>
      </c>
      <c r="AT14" s="201">
        <v>228098</v>
      </c>
      <c r="AU14" s="201">
        <v>184258</v>
      </c>
      <c r="AV14" s="201">
        <v>169628</v>
      </c>
      <c r="AW14" s="201">
        <v>245711</v>
      </c>
      <c r="AX14" s="201">
        <v>268590</v>
      </c>
      <c r="AY14" s="364">
        <v>223925</v>
      </c>
      <c r="AZ14" s="364">
        <v>178176</v>
      </c>
      <c r="BA14" s="364">
        <v>175983</v>
      </c>
      <c r="BB14" s="148"/>
      <c r="BD14" s="3"/>
      <c r="BG14" s="3"/>
    </row>
    <row r="15" spans="1:59" ht="12.75" customHeight="1">
      <c r="A15" s="7"/>
      <c r="B15" s="227" t="s">
        <v>246</v>
      </c>
      <c r="C15" s="38">
        <v>-281</v>
      </c>
      <c r="D15" s="30">
        <v>-0.49298245614035086</v>
      </c>
      <c r="E15" s="592"/>
      <c r="F15" s="465"/>
      <c r="G15" s="465">
        <v>289</v>
      </c>
      <c r="H15" s="465">
        <v>357</v>
      </c>
      <c r="I15" s="216">
        <v>458</v>
      </c>
      <c r="J15" s="465">
        <v>482</v>
      </c>
      <c r="K15" s="465">
        <v>570</v>
      </c>
      <c r="L15" s="465">
        <v>534</v>
      </c>
      <c r="M15" s="216">
        <v>644</v>
      </c>
      <c r="N15" s="465">
        <v>790</v>
      </c>
      <c r="O15" s="465">
        <v>806</v>
      </c>
      <c r="P15" s="465">
        <v>796</v>
      </c>
      <c r="Q15" s="216">
        <v>1183</v>
      </c>
      <c r="R15" s="465">
        <v>1486</v>
      </c>
      <c r="S15" s="465">
        <v>1555</v>
      </c>
      <c r="T15" s="465">
        <v>1010</v>
      </c>
      <c r="U15" s="216">
        <v>900</v>
      </c>
      <c r="V15" s="465">
        <v>904</v>
      </c>
      <c r="W15" s="465">
        <v>833</v>
      </c>
      <c r="X15" s="465">
        <v>542</v>
      </c>
      <c r="Y15" s="216">
        <v>509</v>
      </c>
      <c r="Z15" s="465">
        <v>516</v>
      </c>
      <c r="AA15" s="465">
        <v>460</v>
      </c>
      <c r="AB15" s="465">
        <v>828</v>
      </c>
      <c r="AC15" s="216">
        <v>1052</v>
      </c>
      <c r="AD15" s="174">
        <v>777</v>
      </c>
      <c r="AE15" s="212">
        <v>719</v>
      </c>
      <c r="AF15" s="212">
        <v>827</v>
      </c>
      <c r="AG15" s="213">
        <v>1093</v>
      </c>
      <c r="AH15" s="177">
        <v>1149</v>
      </c>
      <c r="AI15" s="168">
        <v>924</v>
      </c>
      <c r="AJ15" s="168">
        <v>666</v>
      </c>
      <c r="AK15" s="168">
        <v>1290</v>
      </c>
      <c r="AL15" s="89"/>
      <c r="AM15" s="213">
        <v>1104</v>
      </c>
      <c r="AN15" s="213">
        <v>1748</v>
      </c>
      <c r="AO15" s="31">
        <v>-644</v>
      </c>
      <c r="AP15" s="45">
        <v>-0.3684210526315789</v>
      </c>
      <c r="AQ15" s="83"/>
      <c r="AR15" s="201">
        <v>2230</v>
      </c>
      <c r="AS15" s="201">
        <v>3575</v>
      </c>
      <c r="AT15" s="201">
        <v>4951</v>
      </c>
      <c r="AU15" s="201">
        <v>2788</v>
      </c>
      <c r="AV15" s="201">
        <v>2856</v>
      </c>
      <c r="AW15" s="201">
        <v>3416</v>
      </c>
      <c r="AX15" s="201">
        <v>4029</v>
      </c>
      <c r="AY15" s="364">
        <v>1269</v>
      </c>
      <c r="AZ15" s="364">
        <v>0</v>
      </c>
      <c r="BA15" s="364">
        <v>0</v>
      </c>
      <c r="BB15" s="148"/>
      <c r="BD15" s="3"/>
      <c r="BG15" s="3"/>
    </row>
    <row r="16" spans="1:59" ht="12.75" customHeight="1">
      <c r="A16" s="8"/>
      <c r="B16" s="7"/>
      <c r="C16" s="169">
        <v>-7332</v>
      </c>
      <c r="D16" s="170">
        <v>-0.20918090782003368</v>
      </c>
      <c r="E16" s="592"/>
      <c r="F16" s="473">
        <v>0</v>
      </c>
      <c r="G16" s="473">
        <v>27719</v>
      </c>
      <c r="H16" s="473">
        <v>24413</v>
      </c>
      <c r="I16" s="221">
        <v>26842</v>
      </c>
      <c r="J16" s="473">
        <v>32223</v>
      </c>
      <c r="K16" s="473">
        <v>35051</v>
      </c>
      <c r="L16" s="473">
        <v>35814</v>
      </c>
      <c r="M16" s="221">
        <v>36767</v>
      </c>
      <c r="N16" s="473">
        <v>52537</v>
      </c>
      <c r="O16" s="473">
        <v>44571</v>
      </c>
      <c r="P16" s="473">
        <v>47412</v>
      </c>
      <c r="Q16" s="221">
        <v>54783</v>
      </c>
      <c r="R16" s="473">
        <v>72704</v>
      </c>
      <c r="S16" s="473">
        <v>68599</v>
      </c>
      <c r="T16" s="473">
        <v>44539</v>
      </c>
      <c r="U16" s="221">
        <v>47207</v>
      </c>
      <c r="V16" s="473">
        <v>54990</v>
      </c>
      <c r="W16" s="473">
        <v>51733</v>
      </c>
      <c r="X16" s="473">
        <v>40138</v>
      </c>
      <c r="Y16" s="221">
        <v>40185</v>
      </c>
      <c r="Z16" s="473">
        <v>37255</v>
      </c>
      <c r="AA16" s="473">
        <v>33532</v>
      </c>
      <c r="AB16" s="473">
        <v>43844</v>
      </c>
      <c r="AC16" s="221">
        <v>57853</v>
      </c>
      <c r="AD16" s="178">
        <v>54463</v>
      </c>
      <c r="AE16" s="220">
        <v>61166</v>
      </c>
      <c r="AF16" s="220">
        <v>57415</v>
      </c>
      <c r="AG16" s="220">
        <v>76083</v>
      </c>
      <c r="AH16" s="171">
        <v>75876</v>
      </c>
      <c r="AI16" s="221">
        <v>68831</v>
      </c>
      <c r="AJ16" s="221">
        <v>55626</v>
      </c>
      <c r="AK16" s="221">
        <v>72286</v>
      </c>
      <c r="AL16" s="89"/>
      <c r="AM16" s="841">
        <v>78974</v>
      </c>
      <c r="AN16" s="841">
        <v>107632</v>
      </c>
      <c r="AO16" s="1345">
        <v>-28658</v>
      </c>
      <c r="AP16" s="170">
        <v>-0.26625910509885536</v>
      </c>
      <c r="AQ16" s="83"/>
      <c r="AR16" s="202">
        <v>139855</v>
      </c>
      <c r="AS16" s="202">
        <v>199303</v>
      </c>
      <c r="AT16" s="202">
        <v>233049</v>
      </c>
      <c r="AU16" s="202">
        <v>187046</v>
      </c>
      <c r="AV16" s="202">
        <v>172484</v>
      </c>
      <c r="AW16" s="202">
        <v>249127</v>
      </c>
      <c r="AX16" s="202">
        <v>272619</v>
      </c>
      <c r="AY16" s="365">
        <v>225194</v>
      </c>
      <c r="AZ16" s="365">
        <v>178176</v>
      </c>
      <c r="BA16" s="365">
        <v>175983</v>
      </c>
      <c r="BB16" s="148"/>
      <c r="BD16" s="3"/>
      <c r="BG16" s="3"/>
    </row>
    <row r="17" spans="1:59" ht="12.75" customHeight="1">
      <c r="A17" s="142" t="s">
        <v>5</v>
      </c>
      <c r="B17" s="7"/>
      <c r="C17" s="38"/>
      <c r="D17" s="30"/>
      <c r="E17" s="592"/>
      <c r="F17" s="465"/>
      <c r="G17" s="465"/>
      <c r="H17" s="465"/>
      <c r="I17" s="216"/>
      <c r="J17" s="465"/>
      <c r="K17" s="465"/>
      <c r="L17" s="465"/>
      <c r="M17" s="216"/>
      <c r="N17" s="465"/>
      <c r="O17" s="465"/>
      <c r="P17" s="465"/>
      <c r="Q17" s="216"/>
      <c r="R17" s="465"/>
      <c r="S17" s="465"/>
      <c r="T17" s="465"/>
      <c r="U17" s="216"/>
      <c r="V17" s="465"/>
      <c r="W17" s="465"/>
      <c r="X17" s="465"/>
      <c r="Y17" s="216"/>
      <c r="Z17" s="465"/>
      <c r="AA17" s="465"/>
      <c r="AB17" s="465"/>
      <c r="AC17" s="216"/>
      <c r="AD17" s="174"/>
      <c r="AE17" s="212"/>
      <c r="AF17" s="212"/>
      <c r="AG17" s="212"/>
      <c r="AH17" s="161"/>
      <c r="AI17" s="216"/>
      <c r="AJ17" s="216"/>
      <c r="AK17" s="216"/>
      <c r="AL17" s="89"/>
      <c r="AM17" s="213"/>
      <c r="AN17" s="213"/>
      <c r="AO17" s="31"/>
      <c r="AP17" s="30"/>
      <c r="AQ17" s="83"/>
      <c r="AR17" s="203"/>
      <c r="AS17" s="203"/>
      <c r="AT17" s="203"/>
      <c r="AU17" s="203"/>
      <c r="AV17" s="203"/>
      <c r="AW17" s="201"/>
      <c r="AX17" s="201"/>
      <c r="AY17" s="364"/>
      <c r="AZ17" s="364"/>
      <c r="BA17" s="364"/>
      <c r="BB17" s="148"/>
      <c r="BD17" s="3"/>
      <c r="BG17" s="3"/>
    </row>
    <row r="18" spans="1:59" ht="12.75" customHeight="1">
      <c r="A18" s="142"/>
      <c r="B18" s="7" t="s">
        <v>399</v>
      </c>
      <c r="C18" s="38">
        <v>-2691</v>
      </c>
      <c r="D18" s="30">
        <v>-0.16645017628502506</v>
      </c>
      <c r="E18" s="592"/>
      <c r="F18" s="465"/>
      <c r="G18" s="465">
        <v>13476</v>
      </c>
      <c r="H18" s="465">
        <v>12048</v>
      </c>
      <c r="I18" s="216">
        <v>12789</v>
      </c>
      <c r="J18" s="465">
        <v>15948</v>
      </c>
      <c r="K18" s="465">
        <v>16167</v>
      </c>
      <c r="L18" s="465">
        <v>17541</v>
      </c>
      <c r="M18" s="216">
        <v>17968</v>
      </c>
      <c r="N18" s="465">
        <v>24803</v>
      </c>
      <c r="O18" s="465">
        <v>21369</v>
      </c>
      <c r="P18" s="465">
        <v>22217</v>
      </c>
      <c r="Q18" s="216">
        <v>27227</v>
      </c>
      <c r="R18" s="465">
        <v>33880</v>
      </c>
      <c r="S18" s="465">
        <v>33144</v>
      </c>
      <c r="T18" s="465">
        <v>20664</v>
      </c>
      <c r="U18" s="216"/>
      <c r="V18" s="465"/>
      <c r="W18" s="465"/>
      <c r="X18" s="465"/>
      <c r="Y18" s="216"/>
      <c r="Z18" s="465"/>
      <c r="AA18" s="465"/>
      <c r="AB18" s="465"/>
      <c r="AC18" s="216"/>
      <c r="AD18" s="174"/>
      <c r="AE18" s="212"/>
      <c r="AF18" s="212"/>
      <c r="AG18" s="212"/>
      <c r="AH18" s="161"/>
      <c r="AI18" s="216"/>
      <c r="AJ18" s="216"/>
      <c r="AK18" s="216"/>
      <c r="AL18" s="89"/>
      <c r="AM18" s="213">
        <v>38313</v>
      </c>
      <c r="AN18" s="213">
        <v>51676</v>
      </c>
      <c r="AO18" s="31">
        <v>-13363</v>
      </c>
      <c r="AP18" s="30">
        <v>-0.25859199628454216</v>
      </c>
      <c r="AQ18" s="83"/>
      <c r="AR18" s="201">
        <v>67624</v>
      </c>
      <c r="AS18" s="201">
        <v>95616</v>
      </c>
      <c r="AT18" s="201">
        <v>110021</v>
      </c>
      <c r="AU18" s="201">
        <v>83777</v>
      </c>
      <c r="AV18" s="201">
        <v>74307</v>
      </c>
      <c r="AW18" s="201">
        <v>111803</v>
      </c>
      <c r="AX18" s="201"/>
      <c r="AY18" s="364"/>
      <c r="AZ18" s="364"/>
      <c r="BA18" s="364"/>
      <c r="BB18" s="148"/>
      <c r="BD18" s="3"/>
      <c r="BG18" s="3"/>
    </row>
    <row r="19" spans="1:59" ht="12.75" customHeight="1">
      <c r="A19" s="142"/>
      <c r="B19" s="7" t="s">
        <v>400</v>
      </c>
      <c r="C19" s="471">
        <v>-1416</v>
      </c>
      <c r="D19" s="149">
        <v>-0.7030784508440914</v>
      </c>
      <c r="E19" s="592"/>
      <c r="F19" s="475"/>
      <c r="G19" s="475">
        <v>598</v>
      </c>
      <c r="H19" s="475">
        <v>557</v>
      </c>
      <c r="I19" s="219">
        <v>295</v>
      </c>
      <c r="J19" s="475">
        <v>1365</v>
      </c>
      <c r="K19" s="475">
        <v>2014</v>
      </c>
      <c r="L19" s="475">
        <v>2256</v>
      </c>
      <c r="M19" s="219">
        <v>1064</v>
      </c>
      <c r="N19" s="475">
        <v>1048</v>
      </c>
      <c r="O19" s="475">
        <v>1175</v>
      </c>
      <c r="P19" s="475">
        <v>1559</v>
      </c>
      <c r="Q19" s="219">
        <v>999</v>
      </c>
      <c r="R19" s="475">
        <v>1641</v>
      </c>
      <c r="S19" s="475">
        <v>2757</v>
      </c>
      <c r="T19" s="475">
        <v>897</v>
      </c>
      <c r="U19" s="216"/>
      <c r="V19" s="465"/>
      <c r="W19" s="465"/>
      <c r="X19" s="465"/>
      <c r="Y19" s="216"/>
      <c r="Z19" s="465"/>
      <c r="AA19" s="465"/>
      <c r="AB19" s="465"/>
      <c r="AC19" s="216"/>
      <c r="AD19" s="174"/>
      <c r="AE19" s="212"/>
      <c r="AF19" s="212"/>
      <c r="AG19" s="212"/>
      <c r="AH19" s="161"/>
      <c r="AI19" s="216"/>
      <c r="AJ19" s="216"/>
      <c r="AK19" s="216"/>
      <c r="AL19" s="89"/>
      <c r="AM19" s="396">
        <v>1450</v>
      </c>
      <c r="AN19" s="396">
        <v>5334</v>
      </c>
      <c r="AO19" s="158">
        <v>-3884</v>
      </c>
      <c r="AP19" s="149">
        <v>-0.728158980127484</v>
      </c>
      <c r="AQ19" s="83"/>
      <c r="AR19" s="207">
        <v>6699</v>
      </c>
      <c r="AS19" s="207">
        <v>4781</v>
      </c>
      <c r="AT19" s="207">
        <v>6243</v>
      </c>
      <c r="AU19" s="207">
        <v>4813</v>
      </c>
      <c r="AV19" s="207">
        <v>76</v>
      </c>
      <c r="AW19" s="207">
        <v>3837</v>
      </c>
      <c r="AX19" s="201"/>
      <c r="AY19" s="364"/>
      <c r="AZ19" s="364"/>
      <c r="BA19" s="364"/>
      <c r="BB19" s="148"/>
      <c r="BD19" s="3"/>
      <c r="BG19" s="3"/>
    </row>
    <row r="20" spans="1:59" ht="12.75" customHeight="1">
      <c r="A20" s="8"/>
      <c r="B20" s="83" t="s">
        <v>260</v>
      </c>
      <c r="C20" s="38">
        <v>-4107</v>
      </c>
      <c r="D20" s="30">
        <v>-0.22589516528243772</v>
      </c>
      <c r="E20" s="592"/>
      <c r="F20" s="465">
        <v>0</v>
      </c>
      <c r="G20" s="465">
        <v>14074</v>
      </c>
      <c r="H20" s="465">
        <v>12605</v>
      </c>
      <c r="I20" s="216">
        <v>13084</v>
      </c>
      <c r="J20" s="465">
        <v>17313</v>
      </c>
      <c r="K20" s="465">
        <v>18181</v>
      </c>
      <c r="L20" s="465">
        <v>19797</v>
      </c>
      <c r="M20" s="216">
        <v>19032</v>
      </c>
      <c r="N20" s="465">
        <v>25851</v>
      </c>
      <c r="O20" s="465">
        <v>22544</v>
      </c>
      <c r="P20" s="465">
        <v>23776</v>
      </c>
      <c r="Q20" s="216">
        <v>28226</v>
      </c>
      <c r="R20" s="465">
        <v>35521</v>
      </c>
      <c r="S20" s="465">
        <v>35901</v>
      </c>
      <c r="T20" s="465">
        <v>21561</v>
      </c>
      <c r="U20" s="216">
        <v>23281</v>
      </c>
      <c r="V20" s="465">
        <v>26203</v>
      </c>
      <c r="W20" s="465">
        <v>24376</v>
      </c>
      <c r="X20" s="465">
        <v>19368</v>
      </c>
      <c r="Y20" s="216">
        <v>18643</v>
      </c>
      <c r="Z20" s="465">
        <v>13122</v>
      </c>
      <c r="AA20" s="465">
        <v>14195</v>
      </c>
      <c r="AB20" s="465">
        <v>20116</v>
      </c>
      <c r="AC20" s="216">
        <v>26950</v>
      </c>
      <c r="AD20" s="174">
        <v>24166</v>
      </c>
      <c r="AE20" s="212">
        <v>28443</v>
      </c>
      <c r="AF20" s="212">
        <v>25351</v>
      </c>
      <c r="AG20" s="212">
        <v>37680</v>
      </c>
      <c r="AH20" s="161">
        <v>36567</v>
      </c>
      <c r="AI20" s="216">
        <v>31848</v>
      </c>
      <c r="AJ20" s="216">
        <v>24885</v>
      </c>
      <c r="AK20" s="216">
        <v>33368</v>
      </c>
      <c r="AL20" s="89"/>
      <c r="AM20" s="213">
        <v>39763</v>
      </c>
      <c r="AN20" s="213">
        <v>57010</v>
      </c>
      <c r="AO20" s="31">
        <v>-17247</v>
      </c>
      <c r="AP20" s="30">
        <v>-0.3025258726539204</v>
      </c>
      <c r="AQ20" s="83"/>
      <c r="AR20" s="201">
        <v>74323</v>
      </c>
      <c r="AS20" s="201">
        <v>100397</v>
      </c>
      <c r="AT20" s="201">
        <v>116264</v>
      </c>
      <c r="AU20" s="201">
        <v>88590</v>
      </c>
      <c r="AV20" s="201">
        <v>74383</v>
      </c>
      <c r="AW20" s="201">
        <v>115640</v>
      </c>
      <c r="AX20" s="201">
        <v>126668</v>
      </c>
      <c r="AY20" s="364">
        <v>105283</v>
      </c>
      <c r="AZ20" s="364">
        <v>84396</v>
      </c>
      <c r="BA20" s="364">
        <v>82758</v>
      </c>
      <c r="BB20" s="148"/>
      <c r="BD20" s="3"/>
      <c r="BG20" s="3"/>
    </row>
    <row r="21" spans="1:59" ht="12.75" customHeight="1">
      <c r="A21" s="8"/>
      <c r="B21" s="227" t="s">
        <v>74</v>
      </c>
      <c r="C21" s="38">
        <v>-362</v>
      </c>
      <c r="D21" s="30">
        <v>-0.11256218905472637</v>
      </c>
      <c r="E21" s="592"/>
      <c r="F21" s="465"/>
      <c r="G21" s="465">
        <v>2854</v>
      </c>
      <c r="H21" s="465">
        <v>2644</v>
      </c>
      <c r="I21" s="216">
        <v>3775</v>
      </c>
      <c r="J21" s="465">
        <v>3521</v>
      </c>
      <c r="K21" s="465">
        <v>3216</v>
      </c>
      <c r="L21" s="465">
        <v>3404</v>
      </c>
      <c r="M21" s="216">
        <v>3704</v>
      </c>
      <c r="N21" s="465">
        <v>4557</v>
      </c>
      <c r="O21" s="465">
        <v>3437</v>
      </c>
      <c r="P21" s="465">
        <v>3327</v>
      </c>
      <c r="Q21" s="216">
        <v>3938</v>
      </c>
      <c r="R21" s="465">
        <v>5565</v>
      </c>
      <c r="S21" s="465">
        <v>3601</v>
      </c>
      <c r="T21" s="465">
        <v>4817</v>
      </c>
      <c r="U21" s="216">
        <v>3882</v>
      </c>
      <c r="V21" s="465">
        <v>5573</v>
      </c>
      <c r="W21" s="465">
        <v>4015</v>
      </c>
      <c r="X21" s="465">
        <v>4360</v>
      </c>
      <c r="Y21" s="216">
        <v>4246</v>
      </c>
      <c r="Z21" s="465">
        <v>4505</v>
      </c>
      <c r="AA21" s="465">
        <v>3057</v>
      </c>
      <c r="AB21" s="465">
        <v>3477</v>
      </c>
      <c r="AC21" s="216">
        <v>3781</v>
      </c>
      <c r="AD21" s="174">
        <v>4683</v>
      </c>
      <c r="AE21" s="212">
        <v>3272</v>
      </c>
      <c r="AF21" s="212">
        <v>3510</v>
      </c>
      <c r="AG21" s="212">
        <v>4049</v>
      </c>
      <c r="AH21" s="161">
        <v>4303</v>
      </c>
      <c r="AI21" s="216">
        <v>3039</v>
      </c>
      <c r="AJ21" s="216">
        <v>2854</v>
      </c>
      <c r="AK21" s="216">
        <v>3430</v>
      </c>
      <c r="AL21" s="89"/>
      <c r="AM21" s="213">
        <v>9273</v>
      </c>
      <c r="AN21" s="213">
        <v>10324</v>
      </c>
      <c r="AO21" s="31">
        <v>-1051</v>
      </c>
      <c r="AP21" s="30">
        <v>-0.10180162727624952</v>
      </c>
      <c r="AQ21" s="83"/>
      <c r="AR21" s="201">
        <v>13845</v>
      </c>
      <c r="AS21" s="201">
        <v>15259</v>
      </c>
      <c r="AT21" s="201">
        <v>17865</v>
      </c>
      <c r="AU21" s="201">
        <v>18194</v>
      </c>
      <c r="AV21" s="201">
        <v>14820</v>
      </c>
      <c r="AW21" s="201">
        <v>15514</v>
      </c>
      <c r="AX21" s="201">
        <v>13626</v>
      </c>
      <c r="AY21" s="364">
        <v>13053</v>
      </c>
      <c r="AZ21" s="364">
        <v>11158</v>
      </c>
      <c r="BA21" s="364">
        <v>10157</v>
      </c>
      <c r="BB21" s="148"/>
      <c r="BD21" s="3"/>
      <c r="BG21" s="3"/>
    </row>
    <row r="22" spans="1:59" ht="12.75" customHeight="1">
      <c r="A22" s="8"/>
      <c r="B22" s="227" t="s">
        <v>75</v>
      </c>
      <c r="C22" s="38">
        <v>2002</v>
      </c>
      <c r="D22" s="30">
        <v>1.4088669950738917</v>
      </c>
      <c r="E22" s="592"/>
      <c r="F22" s="465"/>
      <c r="G22" s="465">
        <v>3423</v>
      </c>
      <c r="H22" s="465">
        <v>3657</v>
      </c>
      <c r="I22" s="216">
        <v>3089</v>
      </c>
      <c r="J22" s="465">
        <v>1242</v>
      </c>
      <c r="K22" s="465">
        <v>1421</v>
      </c>
      <c r="L22" s="465">
        <v>1222</v>
      </c>
      <c r="M22" s="216">
        <v>1552</v>
      </c>
      <c r="N22" s="465">
        <v>1546</v>
      </c>
      <c r="O22" s="465">
        <v>1859</v>
      </c>
      <c r="P22" s="465">
        <v>1709</v>
      </c>
      <c r="Q22" s="216">
        <v>2183</v>
      </c>
      <c r="R22" s="465">
        <v>2253</v>
      </c>
      <c r="S22" s="465">
        <v>2017</v>
      </c>
      <c r="T22" s="465">
        <v>1577</v>
      </c>
      <c r="U22" s="216">
        <v>2224</v>
      </c>
      <c r="V22" s="465">
        <v>2320</v>
      </c>
      <c r="W22" s="465">
        <v>1910</v>
      </c>
      <c r="X22" s="465">
        <v>2120</v>
      </c>
      <c r="Y22" s="216">
        <v>2156</v>
      </c>
      <c r="Z22" s="465">
        <v>1697</v>
      </c>
      <c r="AA22" s="465">
        <v>1856</v>
      </c>
      <c r="AB22" s="465">
        <v>1606</v>
      </c>
      <c r="AC22" s="216">
        <v>1849</v>
      </c>
      <c r="AD22" s="174">
        <v>1694</v>
      </c>
      <c r="AE22" s="212">
        <v>2331</v>
      </c>
      <c r="AF22" s="212">
        <v>2158</v>
      </c>
      <c r="AG22" s="212">
        <v>2399</v>
      </c>
      <c r="AH22" s="161">
        <v>2477</v>
      </c>
      <c r="AI22" s="216">
        <v>2338</v>
      </c>
      <c r="AJ22" s="216">
        <v>2276</v>
      </c>
      <c r="AK22" s="216">
        <v>3066</v>
      </c>
      <c r="AL22" s="89"/>
      <c r="AM22" s="213">
        <v>10169</v>
      </c>
      <c r="AN22" s="213">
        <v>4195</v>
      </c>
      <c r="AO22" s="31">
        <v>5974</v>
      </c>
      <c r="AP22" s="30">
        <v>1.4240762812872467</v>
      </c>
      <c r="AQ22" s="83"/>
      <c r="AR22" s="201">
        <v>5437</v>
      </c>
      <c r="AS22" s="201">
        <v>7297</v>
      </c>
      <c r="AT22" s="201">
        <v>8071</v>
      </c>
      <c r="AU22" s="201">
        <v>8506</v>
      </c>
      <c r="AV22" s="201">
        <v>7008</v>
      </c>
      <c r="AW22" s="201">
        <v>8582</v>
      </c>
      <c r="AX22" s="201">
        <v>10157</v>
      </c>
      <c r="AY22" s="364">
        <v>9013</v>
      </c>
      <c r="AZ22" s="364">
        <v>8802</v>
      </c>
      <c r="BA22" s="364">
        <v>1308</v>
      </c>
      <c r="BB22" s="148"/>
      <c r="BD22" s="3"/>
      <c r="BG22" s="3"/>
    </row>
    <row r="23" spans="1:59" ht="12.75" customHeight="1">
      <c r="A23" s="8"/>
      <c r="B23" s="227" t="s">
        <v>76</v>
      </c>
      <c r="C23" s="38">
        <v>106</v>
      </c>
      <c r="D23" s="30">
        <v>0.08204334365325078</v>
      </c>
      <c r="E23" s="592"/>
      <c r="F23" s="465"/>
      <c r="G23" s="465">
        <v>1398</v>
      </c>
      <c r="H23" s="465">
        <v>1381</v>
      </c>
      <c r="I23" s="216">
        <v>1444</v>
      </c>
      <c r="J23" s="465">
        <v>1386</v>
      </c>
      <c r="K23" s="465">
        <v>1292</v>
      </c>
      <c r="L23" s="465">
        <v>1834</v>
      </c>
      <c r="M23" s="216">
        <v>1891</v>
      </c>
      <c r="N23" s="465">
        <v>1822</v>
      </c>
      <c r="O23" s="465">
        <v>1838</v>
      </c>
      <c r="P23" s="465">
        <v>1881</v>
      </c>
      <c r="Q23" s="216">
        <v>1852</v>
      </c>
      <c r="R23" s="465">
        <v>2030</v>
      </c>
      <c r="S23" s="465">
        <v>1993</v>
      </c>
      <c r="T23" s="465">
        <v>2068</v>
      </c>
      <c r="U23" s="216">
        <v>1948</v>
      </c>
      <c r="V23" s="465">
        <v>2016</v>
      </c>
      <c r="W23" s="465">
        <v>2074</v>
      </c>
      <c r="X23" s="465">
        <v>2075</v>
      </c>
      <c r="Y23" s="216">
        <v>1951</v>
      </c>
      <c r="Z23" s="465">
        <v>1822</v>
      </c>
      <c r="AA23" s="465">
        <v>1632</v>
      </c>
      <c r="AB23" s="465">
        <v>1702</v>
      </c>
      <c r="AC23" s="216">
        <v>1632</v>
      </c>
      <c r="AD23" s="174">
        <v>1630</v>
      </c>
      <c r="AE23" s="212">
        <v>1605</v>
      </c>
      <c r="AF23" s="212">
        <v>1605</v>
      </c>
      <c r="AG23" s="212">
        <v>1535</v>
      </c>
      <c r="AH23" s="161">
        <v>1555</v>
      </c>
      <c r="AI23" s="216">
        <v>1528</v>
      </c>
      <c r="AJ23" s="216">
        <v>1534</v>
      </c>
      <c r="AK23" s="216">
        <v>1536</v>
      </c>
      <c r="AL23" s="89"/>
      <c r="AM23" s="213">
        <v>4223</v>
      </c>
      <c r="AN23" s="213">
        <v>5017</v>
      </c>
      <c r="AO23" s="31">
        <v>-794</v>
      </c>
      <c r="AP23" s="30">
        <v>-0.1582619095076739</v>
      </c>
      <c r="AQ23" s="83"/>
      <c r="AR23" s="201">
        <v>6403</v>
      </c>
      <c r="AS23" s="201">
        <v>7393</v>
      </c>
      <c r="AT23" s="201">
        <v>8039</v>
      </c>
      <c r="AU23" s="201">
        <v>8116</v>
      </c>
      <c r="AV23" s="201">
        <v>6788</v>
      </c>
      <c r="AW23" s="201">
        <v>6375</v>
      </c>
      <c r="AX23" s="201">
        <v>6153</v>
      </c>
      <c r="AY23" s="364">
        <v>5464</v>
      </c>
      <c r="AZ23" s="364">
        <v>4653</v>
      </c>
      <c r="BA23" s="364">
        <v>4742</v>
      </c>
      <c r="BB23" s="148"/>
      <c r="BD23" s="3"/>
      <c r="BG23" s="3"/>
    </row>
    <row r="24" spans="1:59" ht="12.75" customHeight="1">
      <c r="A24" s="8"/>
      <c r="B24" s="227" t="s">
        <v>77</v>
      </c>
      <c r="C24" s="38">
        <v>74</v>
      </c>
      <c r="D24" s="30">
        <v>0.05555555555555555</v>
      </c>
      <c r="E24" s="592"/>
      <c r="F24" s="465"/>
      <c r="G24" s="465">
        <v>1406</v>
      </c>
      <c r="H24" s="465">
        <v>1339</v>
      </c>
      <c r="I24" s="216">
        <v>1354</v>
      </c>
      <c r="J24" s="465">
        <v>1437</v>
      </c>
      <c r="K24" s="465">
        <v>1332</v>
      </c>
      <c r="L24" s="465">
        <v>1485</v>
      </c>
      <c r="M24" s="216">
        <v>1367</v>
      </c>
      <c r="N24" s="465">
        <v>1477</v>
      </c>
      <c r="O24" s="465">
        <v>1288</v>
      </c>
      <c r="P24" s="465">
        <v>1390</v>
      </c>
      <c r="Q24" s="216">
        <v>1277</v>
      </c>
      <c r="R24" s="465">
        <v>1256</v>
      </c>
      <c r="S24" s="465">
        <v>1264</v>
      </c>
      <c r="T24" s="465">
        <v>1329</v>
      </c>
      <c r="U24" s="216">
        <v>1325</v>
      </c>
      <c r="V24" s="465">
        <v>1426</v>
      </c>
      <c r="W24" s="465">
        <v>1660</v>
      </c>
      <c r="X24" s="465">
        <v>1494</v>
      </c>
      <c r="Y24" s="216">
        <v>1536</v>
      </c>
      <c r="Z24" s="465">
        <v>1630</v>
      </c>
      <c r="AA24" s="465">
        <v>1590</v>
      </c>
      <c r="AB24" s="465">
        <v>1556</v>
      </c>
      <c r="AC24" s="216">
        <v>1639</v>
      </c>
      <c r="AD24" s="174">
        <v>1596</v>
      </c>
      <c r="AE24" s="212">
        <v>1544</v>
      </c>
      <c r="AF24" s="212">
        <v>1573</v>
      </c>
      <c r="AG24" s="212">
        <v>1670</v>
      </c>
      <c r="AH24" s="161">
        <v>1639</v>
      </c>
      <c r="AI24" s="216">
        <v>1526</v>
      </c>
      <c r="AJ24" s="216">
        <v>1571</v>
      </c>
      <c r="AK24" s="216">
        <v>1602</v>
      </c>
      <c r="AL24" s="89"/>
      <c r="AM24" s="213">
        <v>4099</v>
      </c>
      <c r="AN24" s="213">
        <v>4184</v>
      </c>
      <c r="AO24" s="31">
        <v>-85</v>
      </c>
      <c r="AP24" s="30">
        <v>-0.02031548757170172</v>
      </c>
      <c r="AQ24" s="83"/>
      <c r="AR24" s="201">
        <v>5621</v>
      </c>
      <c r="AS24" s="201">
        <v>5432</v>
      </c>
      <c r="AT24" s="201">
        <v>5174</v>
      </c>
      <c r="AU24" s="201">
        <v>6116</v>
      </c>
      <c r="AV24" s="201">
        <v>6415</v>
      </c>
      <c r="AW24" s="201">
        <v>6383</v>
      </c>
      <c r="AX24" s="201">
        <v>6338</v>
      </c>
      <c r="AY24" s="364">
        <v>6066</v>
      </c>
      <c r="AZ24" s="364">
        <v>5819</v>
      </c>
      <c r="BA24" s="364">
        <v>5491</v>
      </c>
      <c r="BB24" s="148"/>
      <c r="BD24" s="3"/>
      <c r="BG24" s="3"/>
    </row>
    <row r="25" spans="1:59" ht="12.75" customHeight="1">
      <c r="A25" s="8"/>
      <c r="B25" s="227" t="s">
        <v>72</v>
      </c>
      <c r="C25" s="38">
        <v>-9</v>
      </c>
      <c r="D25" s="30">
        <v>-0.19148936170212766</v>
      </c>
      <c r="E25" s="592"/>
      <c r="F25" s="465"/>
      <c r="G25" s="465">
        <v>38</v>
      </c>
      <c r="H25" s="465">
        <v>41</v>
      </c>
      <c r="I25" s="216">
        <v>47</v>
      </c>
      <c r="J25" s="465">
        <v>39</v>
      </c>
      <c r="K25" s="465">
        <v>47</v>
      </c>
      <c r="L25" s="465">
        <v>54</v>
      </c>
      <c r="M25" s="216">
        <v>56</v>
      </c>
      <c r="N25" s="465">
        <v>56</v>
      </c>
      <c r="O25" s="465">
        <v>56</v>
      </c>
      <c r="P25" s="465">
        <v>80</v>
      </c>
      <c r="Q25" s="216">
        <v>102</v>
      </c>
      <c r="R25" s="465">
        <v>90</v>
      </c>
      <c r="S25" s="465">
        <v>97</v>
      </c>
      <c r="T25" s="465">
        <v>63</v>
      </c>
      <c r="U25" s="216">
        <v>58</v>
      </c>
      <c r="V25" s="465">
        <v>44</v>
      </c>
      <c r="W25" s="465">
        <v>51</v>
      </c>
      <c r="X25" s="465">
        <v>104</v>
      </c>
      <c r="Y25" s="216">
        <v>243</v>
      </c>
      <c r="Z25" s="465">
        <v>671</v>
      </c>
      <c r="AA25" s="465">
        <v>1758</v>
      </c>
      <c r="AB25" s="465">
        <v>2459</v>
      </c>
      <c r="AC25" s="216">
        <v>2915</v>
      </c>
      <c r="AD25" s="174">
        <v>4124</v>
      </c>
      <c r="AE25" s="212">
        <v>5305</v>
      </c>
      <c r="AF25" s="212">
        <v>5435</v>
      </c>
      <c r="AG25" s="212">
        <v>5060</v>
      </c>
      <c r="AH25" s="161">
        <v>4659</v>
      </c>
      <c r="AI25" s="216">
        <v>4412</v>
      </c>
      <c r="AJ25" s="216">
        <v>4434</v>
      </c>
      <c r="AK25" s="216">
        <v>4246</v>
      </c>
      <c r="AL25" s="89"/>
      <c r="AM25" s="213">
        <v>126</v>
      </c>
      <c r="AN25" s="213">
        <v>157</v>
      </c>
      <c r="AO25" s="31">
        <v>-31</v>
      </c>
      <c r="AP25" s="30">
        <v>-0.19745222929936307</v>
      </c>
      <c r="AQ25" s="83"/>
      <c r="AR25" s="201">
        <v>196</v>
      </c>
      <c r="AS25" s="201">
        <v>294</v>
      </c>
      <c r="AT25" s="201">
        <v>308</v>
      </c>
      <c r="AU25" s="201">
        <v>442</v>
      </c>
      <c r="AV25" s="201">
        <v>7803</v>
      </c>
      <c r="AW25" s="201">
        <v>19924</v>
      </c>
      <c r="AX25" s="201">
        <v>17751</v>
      </c>
      <c r="AY25" s="364">
        <v>7194</v>
      </c>
      <c r="AZ25" s="364">
        <v>3711</v>
      </c>
      <c r="BA25" s="364">
        <v>0</v>
      </c>
      <c r="BB25" s="148"/>
      <c r="BD25" s="3"/>
      <c r="BG25" s="3"/>
    </row>
    <row r="26" spans="1:59" ht="12.75" customHeight="1">
      <c r="A26" s="8"/>
      <c r="B26" s="227" t="s">
        <v>101</v>
      </c>
      <c r="C26" s="38">
        <v>113</v>
      </c>
      <c r="D26" s="30">
        <v>0.03534563653425086</v>
      </c>
      <c r="E26" s="592"/>
      <c r="F26" s="465"/>
      <c r="G26" s="465">
        <v>3310</v>
      </c>
      <c r="H26" s="465">
        <v>2824</v>
      </c>
      <c r="I26" s="216">
        <v>2668</v>
      </c>
      <c r="J26" s="465">
        <v>3243</v>
      </c>
      <c r="K26" s="465">
        <v>3197</v>
      </c>
      <c r="L26" s="465">
        <v>3536</v>
      </c>
      <c r="M26" s="216">
        <v>4472</v>
      </c>
      <c r="N26" s="465">
        <v>3668</v>
      </c>
      <c r="O26" s="465">
        <v>3720</v>
      </c>
      <c r="P26" s="465">
        <v>2632</v>
      </c>
      <c r="Q26" s="216">
        <v>3319</v>
      </c>
      <c r="R26" s="465">
        <v>4728</v>
      </c>
      <c r="S26" s="465">
        <v>4268</v>
      </c>
      <c r="T26" s="465">
        <v>4186</v>
      </c>
      <c r="U26" s="216">
        <v>3730</v>
      </c>
      <c r="V26" s="465">
        <v>6030</v>
      </c>
      <c r="W26" s="465">
        <v>4108</v>
      </c>
      <c r="X26" s="465">
        <v>2461</v>
      </c>
      <c r="Y26" s="216">
        <v>3886</v>
      </c>
      <c r="Z26" s="465">
        <v>2268</v>
      </c>
      <c r="AA26" s="465">
        <v>7826</v>
      </c>
      <c r="AB26" s="465">
        <v>3206</v>
      </c>
      <c r="AC26" s="216">
        <v>3942</v>
      </c>
      <c r="AD26" s="174">
        <v>3477</v>
      </c>
      <c r="AE26" s="212">
        <v>3587</v>
      </c>
      <c r="AF26" s="212">
        <v>2594</v>
      </c>
      <c r="AG26" s="212">
        <v>2953</v>
      </c>
      <c r="AH26" s="161">
        <v>2341</v>
      </c>
      <c r="AI26" s="216">
        <v>3444</v>
      </c>
      <c r="AJ26" s="216">
        <v>1855</v>
      </c>
      <c r="AK26" s="216">
        <v>6038</v>
      </c>
      <c r="AL26" s="89"/>
      <c r="AM26" s="213">
        <v>8802</v>
      </c>
      <c r="AN26" s="213">
        <v>11205</v>
      </c>
      <c r="AO26" s="31">
        <v>-2403</v>
      </c>
      <c r="AP26" s="30">
        <v>-0.21445783132530122</v>
      </c>
      <c r="AQ26" s="83"/>
      <c r="AR26" s="201">
        <v>14448</v>
      </c>
      <c r="AS26" s="201">
        <v>13339</v>
      </c>
      <c r="AT26" s="201">
        <v>16912</v>
      </c>
      <c r="AU26" s="201">
        <v>16485</v>
      </c>
      <c r="AV26" s="201">
        <v>17242</v>
      </c>
      <c r="AW26" s="201">
        <v>12611</v>
      </c>
      <c r="AX26" s="201">
        <v>13678</v>
      </c>
      <c r="AY26" s="364">
        <v>12162</v>
      </c>
      <c r="AZ26" s="364">
        <v>5080</v>
      </c>
      <c r="BA26" s="364">
        <v>9626</v>
      </c>
      <c r="BB26" s="148"/>
      <c r="BD26" s="3"/>
      <c r="BE26" s="3"/>
      <c r="BF26" s="3"/>
      <c r="BG26" s="3"/>
    </row>
    <row r="27" spans="1:59" ht="12.75" customHeight="1">
      <c r="A27" s="8"/>
      <c r="B27" s="227" t="s">
        <v>79</v>
      </c>
      <c r="C27" s="38">
        <v>-672</v>
      </c>
      <c r="D27" s="30">
        <v>-0.6222222222222222</v>
      </c>
      <c r="E27" s="592"/>
      <c r="F27" s="465"/>
      <c r="G27" s="465">
        <v>408</v>
      </c>
      <c r="H27" s="465">
        <v>380</v>
      </c>
      <c r="I27" s="216">
        <v>368</v>
      </c>
      <c r="J27" s="465">
        <v>1940</v>
      </c>
      <c r="K27" s="465">
        <v>1080</v>
      </c>
      <c r="L27" s="465">
        <v>499</v>
      </c>
      <c r="M27" s="216">
        <v>497</v>
      </c>
      <c r="N27" s="465">
        <v>500</v>
      </c>
      <c r="O27" s="465">
        <v>513</v>
      </c>
      <c r="P27" s="465">
        <v>554</v>
      </c>
      <c r="Q27" s="216">
        <v>641</v>
      </c>
      <c r="R27" s="465">
        <v>632</v>
      </c>
      <c r="S27" s="465">
        <v>596</v>
      </c>
      <c r="T27" s="465">
        <v>575</v>
      </c>
      <c r="U27" s="216">
        <v>619</v>
      </c>
      <c r="V27" s="465">
        <v>649</v>
      </c>
      <c r="W27" s="465">
        <v>637</v>
      </c>
      <c r="X27" s="465">
        <v>618</v>
      </c>
      <c r="Y27" s="216">
        <v>602</v>
      </c>
      <c r="Z27" s="465">
        <v>655</v>
      </c>
      <c r="AA27" s="465">
        <v>463</v>
      </c>
      <c r="AB27" s="465">
        <v>411</v>
      </c>
      <c r="AC27" s="216">
        <v>409</v>
      </c>
      <c r="AD27" s="174">
        <v>436</v>
      </c>
      <c r="AE27" s="212">
        <v>495</v>
      </c>
      <c r="AF27" s="212">
        <v>472</v>
      </c>
      <c r="AG27" s="212">
        <v>430</v>
      </c>
      <c r="AH27" s="161">
        <v>438</v>
      </c>
      <c r="AI27" s="216">
        <v>380</v>
      </c>
      <c r="AJ27" s="216">
        <v>420</v>
      </c>
      <c r="AK27" s="216">
        <v>410</v>
      </c>
      <c r="AL27" s="89"/>
      <c r="AM27" s="213">
        <v>1156</v>
      </c>
      <c r="AN27" s="213">
        <v>2076</v>
      </c>
      <c r="AO27" s="31">
        <v>-920</v>
      </c>
      <c r="AP27" s="30">
        <v>-0.44315992292870904</v>
      </c>
      <c r="AQ27" s="83"/>
      <c r="AR27" s="201">
        <v>4016</v>
      </c>
      <c r="AS27" s="201">
        <v>2208</v>
      </c>
      <c r="AT27" s="201">
        <v>2422</v>
      </c>
      <c r="AU27" s="201">
        <v>2506</v>
      </c>
      <c r="AV27" s="201">
        <v>1938</v>
      </c>
      <c r="AW27" s="201">
        <v>1833</v>
      </c>
      <c r="AX27" s="201">
        <v>1648</v>
      </c>
      <c r="AY27" s="364">
        <v>1439</v>
      </c>
      <c r="AZ27" s="364">
        <v>1087</v>
      </c>
      <c r="BA27" s="364">
        <v>1295</v>
      </c>
      <c r="BB27" s="148"/>
      <c r="BD27" s="3"/>
      <c r="BE27" s="3"/>
      <c r="BF27" s="3"/>
      <c r="BG27" s="3"/>
    </row>
    <row r="28" spans="1:59" ht="12.75" customHeight="1">
      <c r="A28" s="7"/>
      <c r="B28" s="227" t="s">
        <v>80</v>
      </c>
      <c r="C28" s="38">
        <v>-315</v>
      </c>
      <c r="D28" s="30">
        <v>-0.2292576419213974</v>
      </c>
      <c r="E28" s="592"/>
      <c r="F28" s="465"/>
      <c r="G28" s="465">
        <v>1059</v>
      </c>
      <c r="H28" s="465">
        <v>1506</v>
      </c>
      <c r="I28" s="216">
        <v>1337</v>
      </c>
      <c r="J28" s="465">
        <v>1312</v>
      </c>
      <c r="K28" s="465">
        <v>1374</v>
      </c>
      <c r="L28" s="465">
        <v>1981</v>
      </c>
      <c r="M28" s="216">
        <v>1980</v>
      </c>
      <c r="N28" s="465">
        <v>2274</v>
      </c>
      <c r="O28" s="465">
        <v>1989</v>
      </c>
      <c r="P28" s="465">
        <v>1978</v>
      </c>
      <c r="Q28" s="216">
        <v>1979</v>
      </c>
      <c r="R28" s="465">
        <v>2125</v>
      </c>
      <c r="S28" s="465">
        <v>2275</v>
      </c>
      <c r="T28" s="465">
        <v>2425</v>
      </c>
      <c r="U28" s="216">
        <v>2433</v>
      </c>
      <c r="V28" s="465">
        <v>2574</v>
      </c>
      <c r="W28" s="465">
        <v>3216</v>
      </c>
      <c r="X28" s="465">
        <v>2613</v>
      </c>
      <c r="Y28" s="216">
        <v>1905</v>
      </c>
      <c r="Z28" s="465">
        <v>2597</v>
      </c>
      <c r="AA28" s="465">
        <v>2312</v>
      </c>
      <c r="AB28" s="465">
        <v>1378</v>
      </c>
      <c r="AC28" s="216">
        <v>1566</v>
      </c>
      <c r="AD28" s="174">
        <v>1897</v>
      </c>
      <c r="AE28" s="212">
        <v>1550</v>
      </c>
      <c r="AF28" s="212">
        <v>1341</v>
      </c>
      <c r="AG28" s="212">
        <v>1372</v>
      </c>
      <c r="AH28" s="161">
        <v>1370</v>
      </c>
      <c r="AI28" s="216">
        <v>1663</v>
      </c>
      <c r="AJ28" s="216">
        <v>1517</v>
      </c>
      <c r="AK28" s="216">
        <v>1521</v>
      </c>
      <c r="AL28" s="89"/>
      <c r="AM28" s="213">
        <v>3902</v>
      </c>
      <c r="AN28" s="213">
        <v>5335</v>
      </c>
      <c r="AO28" s="31">
        <v>-1433</v>
      </c>
      <c r="AP28" s="30">
        <v>-0.26860356138706654</v>
      </c>
      <c r="AQ28" s="83"/>
      <c r="AR28" s="201">
        <v>6647</v>
      </c>
      <c r="AS28" s="201">
        <v>8220</v>
      </c>
      <c r="AT28" s="201">
        <v>9258</v>
      </c>
      <c r="AU28" s="201">
        <v>10308</v>
      </c>
      <c r="AV28" s="201">
        <v>7853</v>
      </c>
      <c r="AW28" s="201">
        <v>6160</v>
      </c>
      <c r="AX28" s="201">
        <v>6071</v>
      </c>
      <c r="AY28" s="364">
        <v>4302</v>
      </c>
      <c r="AZ28" s="364">
        <v>2798</v>
      </c>
      <c r="BA28" s="364">
        <v>3261</v>
      </c>
      <c r="BB28" s="148"/>
      <c r="BD28" s="3"/>
      <c r="BE28" s="3"/>
      <c r="BF28" s="3"/>
      <c r="BG28" s="3"/>
    </row>
    <row r="29" spans="1:59" ht="12.75" customHeight="1">
      <c r="A29" s="7"/>
      <c r="B29" s="7" t="s">
        <v>193</v>
      </c>
      <c r="C29" s="38">
        <v>0</v>
      </c>
      <c r="D29" s="30">
        <v>0</v>
      </c>
      <c r="E29" s="592"/>
      <c r="F29" s="213"/>
      <c r="G29" s="213">
        <v>0</v>
      </c>
      <c r="H29" s="213">
        <v>0</v>
      </c>
      <c r="I29" s="168">
        <v>0</v>
      </c>
      <c r="J29" s="213">
        <v>0</v>
      </c>
      <c r="K29" s="213">
        <v>0</v>
      </c>
      <c r="L29" s="213">
        <v>13567</v>
      </c>
      <c r="M29" s="168">
        <v>0</v>
      </c>
      <c r="N29" s="213">
        <v>900</v>
      </c>
      <c r="O29" s="213">
        <v>0</v>
      </c>
      <c r="P29" s="213">
        <v>0</v>
      </c>
      <c r="Q29" s="168">
        <v>0</v>
      </c>
      <c r="R29" s="213">
        <v>0</v>
      </c>
      <c r="S29" s="213">
        <v>0</v>
      </c>
      <c r="T29" s="213">
        <v>0</v>
      </c>
      <c r="U29" s="168">
        <v>0</v>
      </c>
      <c r="V29" s="213">
        <v>0</v>
      </c>
      <c r="W29" s="213">
        <v>0</v>
      </c>
      <c r="X29" s="213">
        <v>0</v>
      </c>
      <c r="Y29" s="168">
        <v>0</v>
      </c>
      <c r="Z29" s="213">
        <v>0</v>
      </c>
      <c r="AA29" s="213">
        <v>5347</v>
      </c>
      <c r="AB29" s="213">
        <v>0</v>
      </c>
      <c r="AC29" s="30">
        <v>0</v>
      </c>
      <c r="AD29" s="175">
        <v>54200</v>
      </c>
      <c r="AE29" s="213">
        <v>0</v>
      </c>
      <c r="AF29" s="213">
        <v>0</v>
      </c>
      <c r="AG29" s="168">
        <v>0</v>
      </c>
      <c r="AH29" s="177">
        <v>0</v>
      </c>
      <c r="AI29" s="168">
        <v>0</v>
      </c>
      <c r="AJ29" s="168">
        <v>0</v>
      </c>
      <c r="AK29" s="168">
        <v>0</v>
      </c>
      <c r="AL29" s="89"/>
      <c r="AM29" s="213">
        <v>0</v>
      </c>
      <c r="AN29" s="213">
        <v>13567</v>
      </c>
      <c r="AO29" s="31">
        <v>-13567</v>
      </c>
      <c r="AP29" s="30">
        <v>-1</v>
      </c>
      <c r="AQ29" s="83"/>
      <c r="AR29" s="201">
        <v>13567</v>
      </c>
      <c r="AS29" s="204">
        <v>900</v>
      </c>
      <c r="AT29" s="204">
        <v>0</v>
      </c>
      <c r="AU29" s="204">
        <v>0</v>
      </c>
      <c r="AV29" s="201">
        <v>180</v>
      </c>
      <c r="AW29" s="204">
        <v>700</v>
      </c>
      <c r="AX29" s="204">
        <v>0</v>
      </c>
      <c r="AY29" s="364">
        <v>0</v>
      </c>
      <c r="AZ29" s="364">
        <v>0</v>
      </c>
      <c r="BA29" s="364">
        <v>0</v>
      </c>
      <c r="BB29" s="148"/>
      <c r="BD29" s="214"/>
      <c r="BE29" s="214"/>
      <c r="BF29" s="3"/>
      <c r="BG29" s="3"/>
    </row>
    <row r="30" spans="1:59" ht="12.75" customHeight="1" hidden="1">
      <c r="A30" s="7"/>
      <c r="B30" s="7" t="s">
        <v>218</v>
      </c>
      <c r="C30" s="38">
        <v>0</v>
      </c>
      <c r="D30" s="588">
        <v>0</v>
      </c>
      <c r="E30" s="592"/>
      <c r="F30" s="213"/>
      <c r="G30" s="213"/>
      <c r="H30" s="213">
        <v>0</v>
      </c>
      <c r="I30" s="168">
        <v>0</v>
      </c>
      <c r="J30" s="213">
        <v>0</v>
      </c>
      <c r="K30" s="213">
        <v>0</v>
      </c>
      <c r="L30" s="213">
        <v>0</v>
      </c>
      <c r="M30" s="168">
        <v>0</v>
      </c>
      <c r="N30" s="213">
        <v>0</v>
      </c>
      <c r="O30" s="213">
        <v>0</v>
      </c>
      <c r="P30" s="213">
        <v>0</v>
      </c>
      <c r="Q30" s="168">
        <v>0</v>
      </c>
      <c r="R30" s="213">
        <v>0</v>
      </c>
      <c r="S30" s="213">
        <v>0</v>
      </c>
      <c r="T30" s="213">
        <v>0</v>
      </c>
      <c r="U30" s="168">
        <v>0</v>
      </c>
      <c r="V30" s="213"/>
      <c r="W30" s="213"/>
      <c r="X30" s="213"/>
      <c r="Y30" s="168"/>
      <c r="Z30" s="213"/>
      <c r="AA30" s="213"/>
      <c r="AB30" s="213"/>
      <c r="AC30" s="30"/>
      <c r="AD30" s="213"/>
      <c r="AE30" s="213"/>
      <c r="AF30" s="213"/>
      <c r="AG30" s="213"/>
      <c r="AH30" s="177"/>
      <c r="AI30" s="168"/>
      <c r="AJ30" s="168"/>
      <c r="AK30" s="168"/>
      <c r="AL30" s="89"/>
      <c r="AM30" s="213">
        <v>0</v>
      </c>
      <c r="AN30" s="213">
        <v>0</v>
      </c>
      <c r="AO30" s="31">
        <v>0</v>
      </c>
      <c r="AP30" s="30">
        <v>0</v>
      </c>
      <c r="AQ30" s="83"/>
      <c r="AR30" s="204">
        <v>0</v>
      </c>
      <c r="AS30" s="204">
        <v>0</v>
      </c>
      <c r="AT30" s="204">
        <v>0</v>
      </c>
      <c r="AU30" s="204">
        <v>0</v>
      </c>
      <c r="AV30" s="204">
        <v>0</v>
      </c>
      <c r="AW30" s="204">
        <v>0</v>
      </c>
      <c r="AX30" s="204"/>
      <c r="AY30" s="364"/>
      <c r="AZ30" s="364"/>
      <c r="BA30" s="364"/>
      <c r="BB30" s="148"/>
      <c r="BD30" s="214"/>
      <c r="BE30" s="214"/>
      <c r="BF30" s="3"/>
      <c r="BG30" s="3"/>
    </row>
    <row r="31" spans="1:59" ht="12.75" customHeight="1">
      <c r="A31" s="8"/>
      <c r="B31" s="144" t="s">
        <v>192</v>
      </c>
      <c r="C31" s="38">
        <v>0</v>
      </c>
      <c r="D31" s="588">
        <v>0</v>
      </c>
      <c r="E31" s="592"/>
      <c r="F31" s="213"/>
      <c r="G31" s="213">
        <v>0</v>
      </c>
      <c r="H31" s="213">
        <v>0</v>
      </c>
      <c r="I31" s="470">
        <v>0</v>
      </c>
      <c r="J31" s="213">
        <v>0</v>
      </c>
      <c r="K31" s="213">
        <v>0</v>
      </c>
      <c r="L31" s="213">
        <v>0</v>
      </c>
      <c r="M31" s="470">
        <v>0</v>
      </c>
      <c r="N31" s="213">
        <v>0</v>
      </c>
      <c r="O31" s="213">
        <v>0</v>
      </c>
      <c r="P31" s="213">
        <v>0</v>
      </c>
      <c r="Q31" s="470">
        <v>0</v>
      </c>
      <c r="R31" s="213">
        <v>0</v>
      </c>
      <c r="S31" s="213">
        <v>0</v>
      </c>
      <c r="T31" s="213">
        <v>0</v>
      </c>
      <c r="U31" s="470">
        <v>0</v>
      </c>
      <c r="V31" s="213">
        <v>0</v>
      </c>
      <c r="W31" s="213">
        <v>0</v>
      </c>
      <c r="X31" s="213">
        <v>0</v>
      </c>
      <c r="Y31" s="470">
        <v>0</v>
      </c>
      <c r="Z31" s="213">
        <v>0</v>
      </c>
      <c r="AA31" s="465">
        <v>180</v>
      </c>
      <c r="AB31" s="213">
        <v>0</v>
      </c>
      <c r="AC31" s="30">
        <v>0</v>
      </c>
      <c r="AD31" s="213">
        <v>700</v>
      </c>
      <c r="AE31" s="213">
        <v>0</v>
      </c>
      <c r="AF31" s="213">
        <v>0</v>
      </c>
      <c r="AG31" s="213">
        <v>0</v>
      </c>
      <c r="AH31" s="177">
        <v>0</v>
      </c>
      <c r="AI31" s="168">
        <v>0</v>
      </c>
      <c r="AJ31" s="168">
        <v>0</v>
      </c>
      <c r="AK31" s="168">
        <v>0</v>
      </c>
      <c r="AL31" s="89"/>
      <c r="AM31" s="213">
        <v>0</v>
      </c>
      <c r="AN31" s="213">
        <v>0</v>
      </c>
      <c r="AO31" s="31">
        <v>0</v>
      </c>
      <c r="AP31" s="30">
        <v>0</v>
      </c>
      <c r="AQ31" s="83"/>
      <c r="AR31" s="204">
        <v>0</v>
      </c>
      <c r="AS31" s="204">
        <v>0</v>
      </c>
      <c r="AT31" s="204">
        <v>0</v>
      </c>
      <c r="AU31" s="204">
        <v>0</v>
      </c>
      <c r="AV31" s="204">
        <v>5347</v>
      </c>
      <c r="AW31" s="204">
        <v>54200</v>
      </c>
      <c r="AX31" s="204">
        <v>0</v>
      </c>
      <c r="AY31" s="364">
        <v>0</v>
      </c>
      <c r="AZ31" s="364">
        <v>0</v>
      </c>
      <c r="BA31" s="364">
        <v>0</v>
      </c>
      <c r="BB31" s="148"/>
      <c r="BD31" s="3"/>
      <c r="BE31" s="3"/>
      <c r="BF31" s="3"/>
      <c r="BG31" s="3"/>
    </row>
    <row r="32" spans="1:59" ht="12.75" customHeight="1">
      <c r="A32" s="8"/>
      <c r="C32" s="169">
        <v>-3170</v>
      </c>
      <c r="D32" s="170">
        <v>-0.10179833012202955</v>
      </c>
      <c r="E32" s="592"/>
      <c r="F32" s="473">
        <v>0</v>
      </c>
      <c r="G32" s="473">
        <v>27970</v>
      </c>
      <c r="H32" s="473">
        <v>26377</v>
      </c>
      <c r="I32" s="221">
        <v>27166</v>
      </c>
      <c r="J32" s="473">
        <v>31433</v>
      </c>
      <c r="K32" s="473">
        <v>31140</v>
      </c>
      <c r="L32" s="473">
        <v>47379</v>
      </c>
      <c r="M32" s="221">
        <v>34551</v>
      </c>
      <c r="N32" s="473">
        <v>42651</v>
      </c>
      <c r="O32" s="473">
        <v>37244</v>
      </c>
      <c r="P32" s="473">
        <v>37327</v>
      </c>
      <c r="Q32" s="221">
        <v>43517</v>
      </c>
      <c r="R32" s="473">
        <v>54200</v>
      </c>
      <c r="S32" s="473">
        <v>52012</v>
      </c>
      <c r="T32" s="473">
        <v>38601</v>
      </c>
      <c r="U32" s="221">
        <v>39500</v>
      </c>
      <c r="V32" s="473">
        <v>46835</v>
      </c>
      <c r="W32" s="473">
        <v>42047</v>
      </c>
      <c r="X32" s="473">
        <v>35213</v>
      </c>
      <c r="Y32" s="221">
        <v>35168</v>
      </c>
      <c r="Z32" s="473">
        <v>28967</v>
      </c>
      <c r="AA32" s="473">
        <v>40216</v>
      </c>
      <c r="AB32" s="473">
        <v>35911</v>
      </c>
      <c r="AC32" s="221">
        <v>44683</v>
      </c>
      <c r="AD32" s="178">
        <v>98603</v>
      </c>
      <c r="AE32" s="220">
        <v>48132</v>
      </c>
      <c r="AF32" s="220">
        <v>44039</v>
      </c>
      <c r="AG32" s="220">
        <v>57148</v>
      </c>
      <c r="AH32" s="171">
        <v>55349</v>
      </c>
      <c r="AI32" s="221">
        <v>50178</v>
      </c>
      <c r="AJ32" s="221">
        <v>41346</v>
      </c>
      <c r="AK32" s="221">
        <v>55217</v>
      </c>
      <c r="AL32" s="89"/>
      <c r="AM32" s="841">
        <v>81513</v>
      </c>
      <c r="AN32" s="841">
        <v>113070</v>
      </c>
      <c r="AO32" s="389">
        <v>-31557</v>
      </c>
      <c r="AP32" s="541">
        <v>-0.27909259750596976</v>
      </c>
      <c r="AQ32" s="89"/>
      <c r="AR32" s="221">
        <v>144503</v>
      </c>
      <c r="AS32" s="221">
        <v>160739</v>
      </c>
      <c r="AT32" s="221">
        <v>184313</v>
      </c>
      <c r="AU32" s="249">
        <v>159263</v>
      </c>
      <c r="AV32" s="202">
        <v>149777</v>
      </c>
      <c r="AW32" s="202">
        <v>247922</v>
      </c>
      <c r="AX32" s="202">
        <v>202090</v>
      </c>
      <c r="AY32" s="365">
        <v>163976</v>
      </c>
      <c r="AZ32" s="365">
        <v>127504</v>
      </c>
      <c r="BA32" s="365">
        <v>118638</v>
      </c>
      <c r="BB32" s="148"/>
      <c r="BD32" s="3"/>
      <c r="BE32" s="3"/>
      <c r="BF32" s="3"/>
      <c r="BG32" s="3"/>
    </row>
    <row r="33" spans="1:59" s="96" customFormat="1" ht="24.75" customHeight="1" thickBot="1">
      <c r="A33" s="1443" t="s">
        <v>263</v>
      </c>
      <c r="B33" s="1444"/>
      <c r="C33" s="38">
        <v>-4162</v>
      </c>
      <c r="D33" s="539">
        <v>-1.064177959601125</v>
      </c>
      <c r="E33" s="592"/>
      <c r="F33" s="212">
        <v>0</v>
      </c>
      <c r="G33" s="212">
        <v>-251</v>
      </c>
      <c r="H33" s="488">
        <v>-1964</v>
      </c>
      <c r="I33" s="1358">
        <v>-324</v>
      </c>
      <c r="J33" s="1336">
        <v>790</v>
      </c>
      <c r="K33" s="1325">
        <v>3911</v>
      </c>
      <c r="L33" s="1325">
        <v>-11565</v>
      </c>
      <c r="M33" s="1328">
        <v>2216</v>
      </c>
      <c r="N33" s="1336">
        <v>9886</v>
      </c>
      <c r="O33" s="1325">
        <v>7327</v>
      </c>
      <c r="P33" s="220">
        <v>10085</v>
      </c>
      <c r="Q33" s="221">
        <v>11266</v>
      </c>
      <c r="R33" s="394">
        <v>18504</v>
      </c>
      <c r="S33" s="394">
        <v>16587</v>
      </c>
      <c r="T33" s="212">
        <v>5938</v>
      </c>
      <c r="U33" s="225">
        <v>7707</v>
      </c>
      <c r="V33" s="212">
        <v>8155</v>
      </c>
      <c r="W33" s="394">
        <v>9686</v>
      </c>
      <c r="X33" s="212">
        <v>4925</v>
      </c>
      <c r="Y33" s="225">
        <v>5017</v>
      </c>
      <c r="Z33" s="394">
        <v>8288</v>
      </c>
      <c r="AA33" s="394">
        <v>-6684</v>
      </c>
      <c r="AB33" s="394">
        <v>7933</v>
      </c>
      <c r="AC33" s="225">
        <v>13170</v>
      </c>
      <c r="AD33" s="226">
        <v>-44140</v>
      </c>
      <c r="AE33" s="221">
        <v>13034</v>
      </c>
      <c r="AF33" s="221">
        <v>13376</v>
      </c>
      <c r="AG33" s="220">
        <v>18935</v>
      </c>
      <c r="AH33" s="220">
        <v>20527</v>
      </c>
      <c r="AI33" s="220">
        <v>18653</v>
      </c>
      <c r="AJ33" s="220">
        <v>14280</v>
      </c>
      <c r="AK33" s="220">
        <v>17069</v>
      </c>
      <c r="AL33" s="89"/>
      <c r="AM33" s="169">
        <v>-2539</v>
      </c>
      <c r="AN33" s="31">
        <v>-5438</v>
      </c>
      <c r="AO33" s="381">
        <v>2899</v>
      </c>
      <c r="AP33" s="559">
        <v>0.5331004045605002</v>
      </c>
      <c r="AQ33" s="89"/>
      <c r="AR33" s="1334">
        <v>-4648</v>
      </c>
      <c r="AS33" s="1334">
        <v>38564</v>
      </c>
      <c r="AT33" s="1334">
        <v>48736</v>
      </c>
      <c r="AU33" s="1349">
        <v>27783</v>
      </c>
      <c r="AV33" s="202">
        <v>22707</v>
      </c>
      <c r="AW33" s="236">
        <v>1205</v>
      </c>
      <c r="AX33" s="236">
        <v>70529</v>
      </c>
      <c r="AY33" s="360">
        <v>61218</v>
      </c>
      <c r="AZ33" s="360">
        <v>50672</v>
      </c>
      <c r="BA33" s="366">
        <v>57345</v>
      </c>
      <c r="BB33" s="148"/>
      <c r="BD33" s="210"/>
      <c r="BE33" s="210"/>
      <c r="BF33" s="210"/>
      <c r="BG33" s="210"/>
    </row>
    <row r="34" spans="1:59" s="96" customFormat="1" ht="15" customHeight="1" thickTop="1">
      <c r="A34" s="537"/>
      <c r="B34" s="546" t="s">
        <v>451</v>
      </c>
      <c r="C34" s="169">
        <v>-4099</v>
      </c>
      <c r="D34" s="170">
        <v>-0.4818951328474018</v>
      </c>
      <c r="E34" s="592"/>
      <c r="F34" s="235"/>
      <c r="G34" s="235">
        <v>4407</v>
      </c>
      <c r="H34" s="934">
        <v>3182</v>
      </c>
      <c r="I34" s="931">
        <v>4808</v>
      </c>
      <c r="J34" s="934">
        <v>8342</v>
      </c>
      <c r="K34" s="934">
        <v>8506</v>
      </c>
      <c r="L34" s="934">
        <v>9222</v>
      </c>
      <c r="M34" s="931">
        <v>9425</v>
      </c>
      <c r="N34" s="934">
        <v>10587</v>
      </c>
      <c r="O34" s="934">
        <v>8276</v>
      </c>
      <c r="P34" s="235">
        <v>8150</v>
      </c>
      <c r="Q34" s="236">
        <v>8724</v>
      </c>
      <c r="R34" s="235"/>
      <c r="S34" s="235"/>
      <c r="T34" s="235"/>
      <c r="U34" s="236"/>
      <c r="V34" s="235"/>
      <c r="W34" s="235"/>
      <c r="X34" s="235"/>
      <c r="Y34" s="236"/>
      <c r="Z34" s="906"/>
      <c r="AA34" s="906"/>
      <c r="AB34" s="906"/>
      <c r="AC34" s="907"/>
      <c r="AD34" s="932"/>
      <c r="AE34" s="543"/>
      <c r="AF34" s="543"/>
      <c r="AG34" s="542"/>
      <c r="AH34" s="542"/>
      <c r="AI34" s="542"/>
      <c r="AJ34" s="542"/>
      <c r="AK34" s="542"/>
      <c r="AL34" s="551"/>
      <c r="AM34" s="736">
        <v>12397</v>
      </c>
      <c r="AN34" s="736">
        <v>27153</v>
      </c>
      <c r="AO34" s="381">
        <v>-14756</v>
      </c>
      <c r="AP34" s="170">
        <v>-0.5434390306780098</v>
      </c>
      <c r="AQ34" s="551"/>
      <c r="AR34" s="618">
        <v>35495</v>
      </c>
      <c r="AS34" s="618">
        <v>35737</v>
      </c>
      <c r="AT34" s="618">
        <v>36604</v>
      </c>
      <c r="AU34" s="618">
        <v>35782</v>
      </c>
      <c r="AV34" s="565" t="s">
        <v>214</v>
      </c>
      <c r="AW34" s="907"/>
      <c r="AX34" s="907"/>
      <c r="AY34" s="908"/>
      <c r="AZ34" s="908"/>
      <c r="BA34" s="9"/>
      <c r="BB34" s="148"/>
      <c r="BD34" s="210"/>
      <c r="BE34" s="210"/>
      <c r="BF34" s="210"/>
      <c r="BG34" s="210"/>
    </row>
    <row r="35" spans="1:59" s="96" customFormat="1" ht="24.75" customHeight="1" thickBot="1">
      <c r="A35" s="143" t="s">
        <v>82</v>
      </c>
      <c r="B35" s="142"/>
      <c r="C35" s="472">
        <v>-63</v>
      </c>
      <c r="D35" s="182">
        <v>-0.013710554951033732</v>
      </c>
      <c r="E35" s="592"/>
      <c r="F35" s="252">
        <v>0</v>
      </c>
      <c r="G35" s="252">
        <v>-4658</v>
      </c>
      <c r="H35" s="718">
        <v>-5146</v>
      </c>
      <c r="I35" s="1343">
        <v>-5132</v>
      </c>
      <c r="J35" s="718">
        <v>-7552</v>
      </c>
      <c r="K35" s="718">
        <v>-4595</v>
      </c>
      <c r="L35" s="718">
        <v>-20787</v>
      </c>
      <c r="M35" s="1343">
        <v>-7209</v>
      </c>
      <c r="N35" s="718">
        <v>-701</v>
      </c>
      <c r="O35" s="718">
        <v>-949</v>
      </c>
      <c r="P35" s="252">
        <v>1935</v>
      </c>
      <c r="Q35" s="253">
        <v>2542</v>
      </c>
      <c r="R35" s="252">
        <v>9122</v>
      </c>
      <c r="S35" s="252">
        <v>8143</v>
      </c>
      <c r="T35" s="252">
        <v>-3436</v>
      </c>
      <c r="U35" s="253">
        <v>-1697</v>
      </c>
      <c r="V35" s="252">
        <v>-1070</v>
      </c>
      <c r="W35" s="252">
        <v>-87</v>
      </c>
      <c r="X35" s="252">
        <v>-3294</v>
      </c>
      <c r="Y35" s="253">
        <v>-3548</v>
      </c>
      <c r="Z35" s="544" t="s">
        <v>214</v>
      </c>
      <c r="AA35" s="544" t="s">
        <v>214</v>
      </c>
      <c r="AB35" s="544" t="s">
        <v>214</v>
      </c>
      <c r="AC35" s="545" t="s">
        <v>214</v>
      </c>
      <c r="AD35" s="567" t="s">
        <v>214</v>
      </c>
      <c r="AE35" s="543"/>
      <c r="AF35" s="543"/>
      <c r="AG35" s="542"/>
      <c r="AH35" s="542"/>
      <c r="AI35" s="542"/>
      <c r="AJ35" s="542"/>
      <c r="AK35" s="542"/>
      <c r="AL35" s="551"/>
      <c r="AM35" s="384">
        <v>-14936</v>
      </c>
      <c r="AN35" s="384">
        <v>-32591</v>
      </c>
      <c r="AO35" s="384">
        <v>17655</v>
      </c>
      <c r="AP35" s="182">
        <v>0.5417139701144488</v>
      </c>
      <c r="AQ35" s="551"/>
      <c r="AR35" s="1343">
        <v>-40143</v>
      </c>
      <c r="AS35" s="1343">
        <v>2827</v>
      </c>
      <c r="AT35" s="1343">
        <v>12132</v>
      </c>
      <c r="AU35" s="1347">
        <v>-7999</v>
      </c>
      <c r="AV35" s="567" t="s">
        <v>214</v>
      </c>
      <c r="AW35" s="545" t="s">
        <v>214</v>
      </c>
      <c r="AX35" s="545" t="s">
        <v>214</v>
      </c>
      <c r="AY35" s="568" t="s">
        <v>214</v>
      </c>
      <c r="AZ35" s="568" t="s">
        <v>214</v>
      </c>
      <c r="BA35" s="9"/>
      <c r="BB35" s="148"/>
      <c r="BD35" s="210"/>
      <c r="BE35" s="210"/>
      <c r="BF35" s="210"/>
      <c r="BG35" s="210"/>
    </row>
    <row r="36" spans="1:59" ht="12.75" customHeight="1" thickTop="1">
      <c r="A36" s="144"/>
      <c r="B36" s="144"/>
      <c r="C36" s="31"/>
      <c r="D36" s="41"/>
      <c r="E36" s="41"/>
      <c r="F36" s="41"/>
      <c r="G36" s="41"/>
      <c r="H36" s="41"/>
      <c r="I36" s="148"/>
      <c r="J36" s="41"/>
      <c r="K36" s="41"/>
      <c r="L36" s="41"/>
      <c r="M36" s="148"/>
      <c r="N36" s="41"/>
      <c r="O36" s="41"/>
      <c r="P36" s="41"/>
      <c r="Q36" s="148"/>
      <c r="R36" s="41"/>
      <c r="S36" s="41"/>
      <c r="T36" s="41"/>
      <c r="U36" s="148"/>
      <c r="V36" s="41"/>
      <c r="W36" s="41"/>
      <c r="X36" s="41"/>
      <c r="Y36" s="148"/>
      <c r="Z36" s="41"/>
      <c r="AA36" s="41"/>
      <c r="AB36" s="41"/>
      <c r="AC36" s="148"/>
      <c r="AD36" s="83"/>
      <c r="AE36" s="83"/>
      <c r="AF36" s="83"/>
      <c r="AG36" s="212"/>
      <c r="AH36" s="212"/>
      <c r="AI36" s="212"/>
      <c r="AJ36" s="212"/>
      <c r="AK36" s="212"/>
      <c r="AL36" s="148"/>
      <c r="AM36" s="148"/>
      <c r="AN36" s="148"/>
      <c r="AO36" s="31"/>
      <c r="AP36" s="41"/>
      <c r="AQ36" s="148"/>
      <c r="AR36" s="148"/>
      <c r="AS36" s="148"/>
      <c r="AT36" s="148"/>
      <c r="AU36" s="148"/>
      <c r="AV36" s="148"/>
      <c r="AW36" s="31"/>
      <c r="AX36" s="31"/>
      <c r="AY36" s="9"/>
      <c r="AZ36" s="9"/>
      <c r="BA36" s="9"/>
      <c r="BB36" s="148"/>
      <c r="BD36" s="3"/>
      <c r="BG36" s="3"/>
    </row>
    <row r="37" spans="1:59" ht="13.5" customHeight="1">
      <c r="A37" s="146" t="s">
        <v>492</v>
      </c>
      <c r="B37" s="144"/>
      <c r="C37" s="228">
        <v>4.379147260018446</v>
      </c>
      <c r="D37" s="41"/>
      <c r="E37" s="41"/>
      <c r="F37" s="35"/>
      <c r="G37" s="35">
        <v>0.32353259497095854</v>
      </c>
      <c r="H37" s="35">
        <v>0.3577602097243272</v>
      </c>
      <c r="I37" s="35">
        <v>0.3183443856642575</v>
      </c>
      <c r="J37" s="35">
        <v>0.25</v>
      </c>
      <c r="K37" s="35">
        <v>0.2797411223707741</v>
      </c>
      <c r="L37" s="35">
        <v>0.2620986285065058</v>
      </c>
      <c r="M37" s="35">
        <v>0.25689293025976445</v>
      </c>
      <c r="N37" s="35">
        <v>0.185</v>
      </c>
      <c r="O37" s="35">
        <v>0.19878396266630768</v>
      </c>
      <c r="P37" s="35">
        <v>0.19393824348266261</v>
      </c>
      <c r="Q37" s="35">
        <v>0.1696146614825767</v>
      </c>
      <c r="R37" s="35">
        <v>0.12057108274647887</v>
      </c>
      <c r="S37" s="35">
        <v>0.11753815653289407</v>
      </c>
      <c r="T37" s="35">
        <v>0.1524282089853836</v>
      </c>
      <c r="U37" s="35">
        <v>0.14044527294680872</v>
      </c>
      <c r="V37" s="35">
        <v>0.11445717403164211</v>
      </c>
      <c r="W37" s="35">
        <v>0.11710126998240968</v>
      </c>
      <c r="X37" s="35">
        <v>0.15167671533210425</v>
      </c>
      <c r="Y37" s="35">
        <v>0.1384596242378997</v>
      </c>
      <c r="Z37" s="35">
        <v>0.14532277546638034</v>
      </c>
      <c r="AA37" s="35">
        <v>0.18445067398306095</v>
      </c>
      <c r="AB37" s="35">
        <v>0.1928428063132926</v>
      </c>
      <c r="AC37" s="35">
        <v>0.157</v>
      </c>
      <c r="AD37" s="35">
        <v>0.163</v>
      </c>
      <c r="AE37" s="35">
        <v>0.153</v>
      </c>
      <c r="AF37" s="35">
        <v>0.16</v>
      </c>
      <c r="AG37" s="35">
        <v>0.12</v>
      </c>
      <c r="AH37" s="35">
        <v>0.116</v>
      </c>
      <c r="AI37" s="35">
        <v>0.121</v>
      </c>
      <c r="AJ37" s="35">
        <v>0.143</v>
      </c>
      <c r="AK37" s="35">
        <v>0.104</v>
      </c>
      <c r="AL37" s="148"/>
      <c r="AM37" s="35">
        <v>0.33234988730468257</v>
      </c>
      <c r="AN37" s="35">
        <v>0.2713505277240969</v>
      </c>
      <c r="AO37" s="228">
        <v>6.099935958058566</v>
      </c>
      <c r="AP37" s="41"/>
      <c r="AQ37" s="148"/>
      <c r="AR37" s="35">
        <v>0.26219580263451664</v>
      </c>
      <c r="AS37" s="35">
        <v>0.189</v>
      </c>
      <c r="AT37" s="35">
        <v>0.12979244708194415</v>
      </c>
      <c r="AU37" s="35">
        <v>0.128</v>
      </c>
      <c r="AV37" s="35">
        <v>0.169</v>
      </c>
      <c r="AW37" s="35">
        <v>0.147</v>
      </c>
      <c r="AX37" s="35">
        <v>0.119</v>
      </c>
      <c r="AY37" s="367">
        <v>0.099</v>
      </c>
      <c r="AZ37" s="367">
        <v>0.077</v>
      </c>
      <c r="BA37" s="367">
        <v>0.079</v>
      </c>
      <c r="BB37" s="148"/>
      <c r="BD37" s="3"/>
      <c r="BG37" s="3"/>
    </row>
    <row r="38" spans="1:59" ht="13.5" customHeight="1">
      <c r="A38" s="7" t="s">
        <v>401</v>
      </c>
      <c r="B38" s="144"/>
      <c r="C38" s="228">
        <v>2.492253460537841</v>
      </c>
      <c r="D38" s="41"/>
      <c r="E38" s="41"/>
      <c r="F38" s="35" t="e">
        <v>#DIV/0!</v>
      </c>
      <c r="G38" s="35">
        <v>0.486164724557163</v>
      </c>
      <c r="H38" s="35">
        <v>0.4935075574489002</v>
      </c>
      <c r="I38" s="35">
        <v>0.47645480962670445</v>
      </c>
      <c r="J38" s="35">
        <v>0.49492598454520065</v>
      </c>
      <c r="K38" s="35">
        <v>0.46124218995178456</v>
      </c>
      <c r="L38" s="35">
        <v>0.48978053275255484</v>
      </c>
      <c r="M38" s="35">
        <v>0.48869910517583703</v>
      </c>
      <c r="N38" s="35">
        <v>0.47210537335592057</v>
      </c>
      <c r="O38" s="35">
        <v>0.4794373022817527</v>
      </c>
      <c r="P38" s="35">
        <v>0.46859444866278577</v>
      </c>
      <c r="Q38" s="35">
        <v>0.4969972436704817</v>
      </c>
      <c r="R38" s="35">
        <v>0.4659991197183099</v>
      </c>
      <c r="S38" s="35">
        <v>0.4831557311331069</v>
      </c>
      <c r="T38" s="35">
        <v>0.4639529401198949</v>
      </c>
      <c r="U38" s="35"/>
      <c r="V38" s="35"/>
      <c r="W38" s="35"/>
      <c r="X38" s="35"/>
      <c r="Y38" s="35"/>
      <c r="Z38" s="35"/>
      <c r="AA38" s="35"/>
      <c r="AB38" s="35"/>
      <c r="AC38" s="35"/>
      <c r="AD38" s="35"/>
      <c r="AE38" s="35"/>
      <c r="AF38" s="35"/>
      <c r="AG38" s="35"/>
      <c r="AH38" s="35"/>
      <c r="AI38" s="35"/>
      <c r="AJ38" s="35"/>
      <c r="AK38" s="35"/>
      <c r="AL38" s="148"/>
      <c r="AM38" s="35">
        <v>0.4851343480132702</v>
      </c>
      <c r="AN38" s="35">
        <v>0.4801174371933997</v>
      </c>
      <c r="AO38" s="228">
        <v>0.501691081987049</v>
      </c>
      <c r="AP38" s="41"/>
      <c r="AQ38" s="148"/>
      <c r="AR38" s="35">
        <v>0.48352936970433663</v>
      </c>
      <c r="AS38" s="35">
        <v>0.4797519354952008</v>
      </c>
      <c r="AT38" s="35">
        <v>0.47209385150762284</v>
      </c>
      <c r="AU38" s="35">
        <v>0.4478951701720432</v>
      </c>
      <c r="AV38" s="35">
        <v>0.4308051761322789</v>
      </c>
      <c r="AW38" s="35">
        <v>0.44877913674551534</v>
      </c>
      <c r="AX38" s="35"/>
      <c r="AY38" s="367"/>
      <c r="AZ38" s="367"/>
      <c r="BA38" s="367"/>
      <c r="BB38" s="148"/>
      <c r="BD38" s="3"/>
      <c r="BG38" s="3"/>
    </row>
    <row r="39" spans="1:59" ht="13.5" customHeight="1">
      <c r="A39" s="7" t="s">
        <v>402</v>
      </c>
      <c r="B39" s="144"/>
      <c r="C39" s="228">
        <v>-3.588548113750324</v>
      </c>
      <c r="D39" s="41"/>
      <c r="E39" s="41"/>
      <c r="F39" s="35" t="e">
        <v>#DIV/0!</v>
      </c>
      <c r="G39" s="35">
        <v>0.021573649843067932</v>
      </c>
      <c r="H39" s="35">
        <v>0.02281571293982714</v>
      </c>
      <c r="I39" s="35">
        <v>0.010990239177408538</v>
      </c>
      <c r="J39" s="35">
        <v>0.0423610464574993</v>
      </c>
      <c r="K39" s="35">
        <v>0.05745913098057117</v>
      </c>
      <c r="L39" s="35">
        <v>0.06299212598425197</v>
      </c>
      <c r="M39" s="35">
        <v>0.0289389942067615</v>
      </c>
      <c r="N39" s="35">
        <v>0.019947846279764737</v>
      </c>
      <c r="O39" s="35">
        <v>0.02636243297211191</v>
      </c>
      <c r="P39" s="35">
        <v>0.03288197080907787</v>
      </c>
      <c r="Q39" s="35">
        <v>0.018235584031542632</v>
      </c>
      <c r="R39" s="35">
        <v>0.022570972711267605</v>
      </c>
      <c r="S39" s="35">
        <v>0.04019009023455152</v>
      </c>
      <c r="T39" s="35">
        <v>0.02013965288847976</v>
      </c>
      <c r="U39" s="35"/>
      <c r="V39" s="35"/>
      <c r="W39" s="35"/>
      <c r="X39" s="35"/>
      <c r="Y39" s="35"/>
      <c r="Z39" s="35"/>
      <c r="AA39" s="35"/>
      <c r="AB39" s="35"/>
      <c r="AC39" s="35"/>
      <c r="AD39" s="35"/>
      <c r="AE39" s="35"/>
      <c r="AF39" s="35"/>
      <c r="AG39" s="35"/>
      <c r="AH39" s="35"/>
      <c r="AI39" s="35"/>
      <c r="AJ39" s="35"/>
      <c r="AK39" s="35"/>
      <c r="AL39" s="148"/>
      <c r="AM39" s="35">
        <v>0.01836047306708537</v>
      </c>
      <c r="AN39" s="35">
        <v>0.049557752341311136</v>
      </c>
      <c r="AO39" s="228">
        <v>-3.1197279274225767</v>
      </c>
      <c r="AP39" s="41"/>
      <c r="AQ39" s="148"/>
      <c r="AR39" s="35">
        <v>0.047899610310678915</v>
      </c>
      <c r="AS39" s="35">
        <v>0.023988600271947737</v>
      </c>
      <c r="AT39" s="35">
        <v>0.026788357813163754</v>
      </c>
      <c r="AU39" s="35">
        <v>0.025731638206644356</v>
      </c>
      <c r="AV39" s="35">
        <v>0.000440620579300109</v>
      </c>
      <c r="AW39" s="35">
        <v>0.015401783026327937</v>
      </c>
      <c r="AX39" s="35"/>
      <c r="AY39" s="367"/>
      <c r="AZ39" s="367"/>
      <c r="BA39" s="367"/>
      <c r="BB39" s="148"/>
      <c r="BD39" s="3"/>
      <c r="BG39" s="3"/>
    </row>
    <row r="40" spans="1:59" ht="12.75" customHeight="1">
      <c r="A40" s="145" t="s">
        <v>84</v>
      </c>
      <c r="B40" s="144"/>
      <c r="C40" s="228">
        <v>-1.0962946532124818</v>
      </c>
      <c r="D40" s="41"/>
      <c r="E40" s="41"/>
      <c r="F40" s="35" t="e">
        <v>#DIV/0!</v>
      </c>
      <c r="G40" s="35">
        <v>0.5077383744002308</v>
      </c>
      <c r="H40" s="35">
        <v>0.5163232703887273</v>
      </c>
      <c r="I40" s="35">
        <v>0.48744504880411293</v>
      </c>
      <c r="J40" s="35">
        <v>0.5372870310026999</v>
      </c>
      <c r="K40" s="35">
        <v>0.5187013209323557</v>
      </c>
      <c r="L40" s="35">
        <v>0.5527726587368068</v>
      </c>
      <c r="M40" s="35">
        <v>0.5176380993825985</v>
      </c>
      <c r="N40" s="35">
        <v>0.4920532196356853</v>
      </c>
      <c r="O40" s="35">
        <v>0.5057997352538646</v>
      </c>
      <c r="P40" s="35">
        <v>0.5014764194718636</v>
      </c>
      <c r="Q40" s="35">
        <v>0.5152328277020244</v>
      </c>
      <c r="R40" s="35">
        <v>0.48857009242957744</v>
      </c>
      <c r="S40" s="35">
        <v>0.5233458213676584</v>
      </c>
      <c r="T40" s="35">
        <v>0.4840925930083747</v>
      </c>
      <c r="U40" s="35">
        <v>0.4931683860444426</v>
      </c>
      <c r="V40" s="35">
        <v>0.47650481905801056</v>
      </c>
      <c r="W40" s="35">
        <v>0.47118860301934934</v>
      </c>
      <c r="X40" s="35">
        <v>0.4825352533758533</v>
      </c>
      <c r="Y40" s="35">
        <v>0.46392932686325744</v>
      </c>
      <c r="Z40" s="35">
        <v>0.3522211783653201</v>
      </c>
      <c r="AA40" s="35">
        <v>0.423326971251342</v>
      </c>
      <c r="AB40" s="35">
        <v>0.4588085028738254</v>
      </c>
      <c r="AC40" s="35">
        <v>0.46583582528131645</v>
      </c>
      <c r="AD40" s="35">
        <v>0.444</v>
      </c>
      <c r="AE40" s="35">
        <v>0.465</v>
      </c>
      <c r="AF40" s="35">
        <v>0.442</v>
      </c>
      <c r="AG40" s="35">
        <v>0.495</v>
      </c>
      <c r="AH40" s="35">
        <v>0.482</v>
      </c>
      <c r="AI40" s="35">
        <v>0.463</v>
      </c>
      <c r="AJ40" s="35">
        <v>0.447</v>
      </c>
      <c r="AK40" s="35">
        <v>0.462</v>
      </c>
      <c r="AL40" s="148"/>
      <c r="AM40" s="35">
        <v>0.5034948210803556</v>
      </c>
      <c r="AN40" s="35">
        <v>0.5296751895347108</v>
      </c>
      <c r="AO40" s="228">
        <v>-2.618036845435523</v>
      </c>
      <c r="AP40" s="41"/>
      <c r="AQ40" s="148"/>
      <c r="AR40" s="35">
        <v>0.5314289800150156</v>
      </c>
      <c r="AS40" s="35">
        <v>0.5037405357671485</v>
      </c>
      <c r="AT40" s="35">
        <v>0.49888220932078664</v>
      </c>
      <c r="AU40" s="35">
        <v>0.4736268083786876</v>
      </c>
      <c r="AV40" s="35">
        <v>0.43124579671157903</v>
      </c>
      <c r="AW40" s="35">
        <v>0.4641809197718433</v>
      </c>
      <c r="AX40" s="35">
        <v>0.465</v>
      </c>
      <c r="AY40" s="358">
        <v>0.468</v>
      </c>
      <c r="AZ40" s="358">
        <v>0.474</v>
      </c>
      <c r="BA40" s="358">
        <v>0.47</v>
      </c>
      <c r="BB40" s="148"/>
      <c r="BD40" s="3"/>
      <c r="BG40" s="3"/>
    </row>
    <row r="41" spans="1:59" ht="13.5" customHeight="1">
      <c r="A41" s="145" t="s">
        <v>259</v>
      </c>
      <c r="B41" s="144"/>
      <c r="C41" s="228">
        <v>0.024690229175872158</v>
      </c>
      <c r="D41" s="41"/>
      <c r="E41" s="41"/>
      <c r="F41" s="35" t="e">
        <v>#DIV/0!</v>
      </c>
      <c r="G41" s="35">
        <v>0.6107002417114614</v>
      </c>
      <c r="H41" s="35">
        <v>0.6246262237332568</v>
      </c>
      <c r="I41" s="35">
        <v>0.6280828552268832</v>
      </c>
      <c r="J41" s="35">
        <v>0.6465568072494802</v>
      </c>
      <c r="K41" s="35">
        <v>0.6104533394197027</v>
      </c>
      <c r="L41" s="35">
        <v>0.6478192885463785</v>
      </c>
      <c r="M41" s="35">
        <v>0.6183806130497457</v>
      </c>
      <c r="N41" s="35">
        <v>0.5787920893846241</v>
      </c>
      <c r="O41" s="35">
        <v>0.582912656211438</v>
      </c>
      <c r="P41" s="35">
        <v>0.5716485277988694</v>
      </c>
      <c r="Q41" s="35">
        <v>0.587116441231769</v>
      </c>
      <c r="R41" s="35">
        <v>0.5651133362676056</v>
      </c>
      <c r="S41" s="35">
        <v>0.5758392979489497</v>
      </c>
      <c r="T41" s="35">
        <v>0.5922449987651272</v>
      </c>
      <c r="U41" s="35">
        <v>0.5754019531001758</v>
      </c>
      <c r="V41" s="35">
        <v>0.5778505182760502</v>
      </c>
      <c r="W41" s="35">
        <v>0.5487986391664895</v>
      </c>
      <c r="X41" s="35">
        <v>0.5911604962878071</v>
      </c>
      <c r="Y41" s="35">
        <v>0.5695906432748538</v>
      </c>
      <c r="Z41" s="35">
        <v>0.4731445443564622</v>
      </c>
      <c r="AA41" s="35">
        <v>0.5144936180365024</v>
      </c>
      <c r="AB41" s="35">
        <v>0.5381123985037861</v>
      </c>
      <c r="AC41" s="35">
        <v>0.5311911223272777</v>
      </c>
      <c r="AD41" s="35">
        <v>0.53</v>
      </c>
      <c r="AE41" s="35">
        <v>0.519</v>
      </c>
      <c r="AF41" s="35">
        <v>0.503</v>
      </c>
      <c r="AG41" s="35">
        <v>0.548</v>
      </c>
      <c r="AH41" s="35">
        <v>0.539</v>
      </c>
      <c r="AI41" s="35">
        <v>0.507</v>
      </c>
      <c r="AJ41" s="35">
        <v>0.499</v>
      </c>
      <c r="AK41" s="35">
        <v>0.509</v>
      </c>
      <c r="AL41" s="148"/>
      <c r="AM41" s="35">
        <v>0.6209132119431712</v>
      </c>
      <c r="AN41" s="35">
        <v>0.6255946187007582</v>
      </c>
      <c r="AO41" s="228">
        <v>-0.4681406757586992</v>
      </c>
      <c r="AP41" s="41"/>
      <c r="AQ41" s="148"/>
      <c r="AR41" s="35">
        <v>0.6304243680955275</v>
      </c>
      <c r="AS41" s="35">
        <v>0.5803023537026537</v>
      </c>
      <c r="AT41" s="35">
        <v>0.5755399079163609</v>
      </c>
      <c r="AU41" s="35">
        <v>0.570896998599275</v>
      </c>
      <c r="AV41" s="35">
        <v>0.5171668096751003</v>
      </c>
      <c r="AW41" s="35">
        <v>0.5264543786903868</v>
      </c>
      <c r="AX41" s="35">
        <v>0.515</v>
      </c>
      <c r="AY41" s="358">
        <v>0.525</v>
      </c>
      <c r="AZ41" s="358">
        <v>0.536</v>
      </c>
      <c r="BA41" s="358">
        <v>0.528</v>
      </c>
      <c r="BB41" s="148"/>
      <c r="BD41" s="3"/>
      <c r="BG41" s="3"/>
    </row>
    <row r="42" spans="1:59" ht="12.75" customHeight="1">
      <c r="A42" s="144" t="s">
        <v>85</v>
      </c>
      <c r="B42" s="144"/>
      <c r="C42" s="228">
        <v>12.038852717957315</v>
      </c>
      <c r="D42" s="41"/>
      <c r="E42" s="41"/>
      <c r="F42" s="35" t="e">
        <v>#DIV/0!</v>
      </c>
      <c r="G42" s="35">
        <v>0.39835491900862224</v>
      </c>
      <c r="H42" s="35">
        <v>0.45582271740466146</v>
      </c>
      <c r="I42" s="35">
        <v>0.38398778034423664</v>
      </c>
      <c r="J42" s="35">
        <v>0.32892654315240666</v>
      </c>
      <c r="K42" s="35">
        <v>0.2779663918290491</v>
      </c>
      <c r="L42" s="35">
        <v>0.6750991232478919</v>
      </c>
      <c r="M42" s="35">
        <v>0.32134794788805177</v>
      </c>
      <c r="N42" s="35">
        <v>0.23303576527019054</v>
      </c>
      <c r="O42" s="35">
        <v>0.25269794260842254</v>
      </c>
      <c r="P42" s="35">
        <v>0.21564160971905846</v>
      </c>
      <c r="Q42" s="35">
        <v>0.20723582133143492</v>
      </c>
      <c r="R42" s="35">
        <v>0.18037522007042253</v>
      </c>
      <c r="S42" s="35">
        <v>0.1823641744048747</v>
      </c>
      <c r="T42" s="35">
        <v>0.27443364242573925</v>
      </c>
      <c r="U42" s="35">
        <v>0.2613383608363167</v>
      </c>
      <c r="V42" s="35">
        <v>0.2738497908710675</v>
      </c>
      <c r="W42" s="35">
        <v>0.26397077300755806</v>
      </c>
      <c r="X42" s="35">
        <v>0.28613782450545616</v>
      </c>
      <c r="Y42" s="35">
        <v>0.3045617767823815</v>
      </c>
      <c r="Z42" s="35">
        <v>0.30438867266138775</v>
      </c>
      <c r="AA42" s="35">
        <v>0.6848383633544077</v>
      </c>
      <c r="AB42" s="35">
        <v>0.28095064318949003</v>
      </c>
      <c r="AC42" s="35">
        <v>0.2411629474703127</v>
      </c>
      <c r="AD42" s="35">
        <v>1.28</v>
      </c>
      <c r="AE42" s="35">
        <v>0.268</v>
      </c>
      <c r="AF42" s="35">
        <v>0.264</v>
      </c>
      <c r="AG42" s="35">
        <v>0.20299999999999996</v>
      </c>
      <c r="AH42" s="35">
        <v>0.19</v>
      </c>
      <c r="AI42" s="35">
        <v>0.22199999999999998</v>
      </c>
      <c r="AJ42" s="35">
        <v>0.244</v>
      </c>
      <c r="AK42" s="35">
        <v>0.255</v>
      </c>
      <c r="AL42" s="148"/>
      <c r="AM42" s="35">
        <v>0.41123660951705626</v>
      </c>
      <c r="AN42" s="35">
        <v>0.42492938902928495</v>
      </c>
      <c r="AO42" s="228">
        <v>-1.3692779512228692</v>
      </c>
      <c r="AP42" s="41"/>
      <c r="AQ42" s="148"/>
      <c r="AR42" s="35">
        <v>0.4028100532694577</v>
      </c>
      <c r="AS42" s="35">
        <v>0.22620331856519973</v>
      </c>
      <c r="AT42" s="35">
        <v>0.21533668885084253</v>
      </c>
      <c r="AU42" s="35">
        <v>0.28056734706970476</v>
      </c>
      <c r="AV42" s="35">
        <v>0.3511861969805895</v>
      </c>
      <c r="AW42" s="35">
        <v>0.4687087308882618</v>
      </c>
      <c r="AX42" s="35">
        <v>0.22599999999999998</v>
      </c>
      <c r="AY42" s="358">
        <v>0.20299999999999996</v>
      </c>
      <c r="AZ42" s="358">
        <v>0.18</v>
      </c>
      <c r="BA42" s="358">
        <v>0.14600000000000002</v>
      </c>
      <c r="BB42" s="148"/>
      <c r="BD42" s="3"/>
      <c r="BG42" s="3"/>
    </row>
    <row r="43" spans="1:59" ht="12.75" customHeight="1">
      <c r="A43" s="144" t="s">
        <v>86</v>
      </c>
      <c r="B43" s="144"/>
      <c r="C43" s="228">
        <v>12.063542947133188</v>
      </c>
      <c r="D43" s="41"/>
      <c r="E43" s="41"/>
      <c r="F43" s="35" t="e">
        <v>#DIV/0!</v>
      </c>
      <c r="G43" s="35">
        <v>1.0090551607200837</v>
      </c>
      <c r="H43" s="35">
        <v>1.0804489411379183</v>
      </c>
      <c r="I43" s="35">
        <v>1.01207063557112</v>
      </c>
      <c r="J43" s="35">
        <v>0.9754833504018868</v>
      </c>
      <c r="K43" s="35">
        <v>0.8884197312487518</v>
      </c>
      <c r="L43" s="35">
        <v>1.3229184117942705</v>
      </c>
      <c r="M43" s="35">
        <v>0.9397285609377974</v>
      </c>
      <c r="N43" s="35">
        <v>0.8118278546548147</v>
      </c>
      <c r="O43" s="35">
        <v>0.8356105988198604</v>
      </c>
      <c r="P43" s="35">
        <v>0.787290137517928</v>
      </c>
      <c r="Q43" s="35">
        <v>0.7943522625632039</v>
      </c>
      <c r="R43" s="35">
        <v>0.7454885563380281</v>
      </c>
      <c r="S43" s="35">
        <v>0.7582034723538243</v>
      </c>
      <c r="T43" s="35">
        <v>0.8666786411908665</v>
      </c>
      <c r="U43" s="35">
        <v>0.8367403139364925</v>
      </c>
      <c r="V43" s="35">
        <v>0.8517003091471177</v>
      </c>
      <c r="W43" s="35">
        <v>0.8127694121740475</v>
      </c>
      <c r="X43" s="35">
        <v>0.8772983207932632</v>
      </c>
      <c r="Y43" s="35">
        <v>0.8751524200572353</v>
      </c>
      <c r="Z43" s="35">
        <v>0.7775332170178499</v>
      </c>
      <c r="AA43" s="35">
        <v>1.1993319813909102</v>
      </c>
      <c r="AB43" s="35">
        <v>0.8190630416932762</v>
      </c>
      <c r="AC43" s="35">
        <v>0.7723540697975905</v>
      </c>
      <c r="AD43" s="35">
        <v>1.81</v>
      </c>
      <c r="AE43" s="35">
        <v>0.787</v>
      </c>
      <c r="AF43" s="35">
        <v>0.767</v>
      </c>
      <c r="AG43" s="35">
        <v>0.751</v>
      </c>
      <c r="AH43" s="35">
        <v>0.729</v>
      </c>
      <c r="AI43" s="35">
        <v>0.729</v>
      </c>
      <c r="AJ43" s="35">
        <v>0.743</v>
      </c>
      <c r="AK43" s="35">
        <v>0.764</v>
      </c>
      <c r="AL43" s="148"/>
      <c r="AM43" s="35">
        <v>1.0321498214602274</v>
      </c>
      <c r="AN43" s="35">
        <v>1.050524007730043</v>
      </c>
      <c r="AO43" s="228">
        <v>-1.8374186269815684</v>
      </c>
      <c r="AP43" s="41"/>
      <c r="AQ43" s="148"/>
      <c r="AR43" s="35">
        <v>1.0332344213649851</v>
      </c>
      <c r="AS43" s="35">
        <v>0.8065056722678535</v>
      </c>
      <c r="AT43" s="35">
        <v>0.7908765967672035</v>
      </c>
      <c r="AU43" s="35">
        <v>0.8514643456689798</v>
      </c>
      <c r="AV43" s="35">
        <v>0.8683530066556898</v>
      </c>
      <c r="AW43" s="35">
        <v>0.9951631095786486</v>
      </c>
      <c r="AX43" s="35">
        <v>0.741</v>
      </c>
      <c r="AY43" s="358">
        <v>0.728</v>
      </c>
      <c r="AZ43" s="358">
        <v>0.716</v>
      </c>
      <c r="BA43" s="358">
        <v>0.674</v>
      </c>
      <c r="BB43" s="148"/>
      <c r="BD43" s="3"/>
      <c r="BG43" s="3"/>
    </row>
    <row r="44" spans="1:59" ht="12.75" customHeight="1">
      <c r="A44" s="145" t="s">
        <v>215</v>
      </c>
      <c r="B44" s="144"/>
      <c r="C44" s="228">
        <v>-12.063542947133188</v>
      </c>
      <c r="D44" s="41"/>
      <c r="E44" s="41"/>
      <c r="F44" s="35" t="e">
        <v>#DIV/0!</v>
      </c>
      <c r="G44" s="35">
        <v>-0.009055160720083697</v>
      </c>
      <c r="H44" s="35">
        <v>-0.08044894113791833</v>
      </c>
      <c r="I44" s="35">
        <v>-0.012070635571119887</v>
      </c>
      <c r="J44" s="35">
        <v>0.024516649598113147</v>
      </c>
      <c r="K44" s="35">
        <v>0.11158026875124818</v>
      </c>
      <c r="L44" s="35">
        <v>-0.3229184117942704</v>
      </c>
      <c r="M44" s="35">
        <v>0.06027143906220252</v>
      </c>
      <c r="N44" s="35">
        <v>0.1881721453451853</v>
      </c>
      <c r="O44" s="35">
        <v>0.16438940118013956</v>
      </c>
      <c r="P44" s="35">
        <v>0.21270986248207205</v>
      </c>
      <c r="Q44" s="35">
        <v>0.2056477374367961</v>
      </c>
      <c r="R44" s="35">
        <v>0.2545114436619718</v>
      </c>
      <c r="S44" s="35">
        <v>0.2417965276461756</v>
      </c>
      <c r="T44" s="35">
        <v>0.13332135880913357</v>
      </c>
      <c r="U44" s="35">
        <v>0.16325968606350752</v>
      </c>
      <c r="V44" s="35">
        <v>0.14829969085288233</v>
      </c>
      <c r="W44" s="35">
        <v>0.18723058782595248</v>
      </c>
      <c r="X44" s="35">
        <v>0.12270167920673676</v>
      </c>
      <c r="Y44" s="35">
        <v>0.12484757994276471</v>
      </c>
      <c r="Z44" s="35">
        <v>0.22246678298215006</v>
      </c>
      <c r="AA44" s="35">
        <v>-0.19933198139091018</v>
      </c>
      <c r="AB44" s="35">
        <v>0.18093695830672385</v>
      </c>
      <c r="AC44" s="35">
        <v>0.22764593020240956</v>
      </c>
      <c r="AD44" s="35">
        <v>-0.81</v>
      </c>
      <c r="AE44" s="35">
        <v>0.21299999999999997</v>
      </c>
      <c r="AF44" s="35">
        <v>0.23299999999999998</v>
      </c>
      <c r="AG44" s="35">
        <v>0.249</v>
      </c>
      <c r="AH44" s="35">
        <v>0.271</v>
      </c>
      <c r="AI44" s="35">
        <v>0.271</v>
      </c>
      <c r="AJ44" s="35">
        <v>0.257</v>
      </c>
      <c r="AK44" s="35">
        <v>0.236</v>
      </c>
      <c r="AL44" s="148"/>
      <c r="AM44" s="35">
        <v>-0.032149821460227414</v>
      </c>
      <c r="AN44" s="35">
        <v>-0.05052400773004311</v>
      </c>
      <c r="AO44" s="228">
        <v>1.8374186269815698</v>
      </c>
      <c r="AP44" s="41"/>
      <c r="AQ44" s="148"/>
      <c r="AR44" s="35">
        <v>-0.03323442136498516</v>
      </c>
      <c r="AS44" s="35">
        <v>0.19349432773214653</v>
      </c>
      <c r="AT44" s="35">
        <v>0.20912340323279655</v>
      </c>
      <c r="AU44" s="35">
        <v>0.14853565433102017</v>
      </c>
      <c r="AV44" s="35">
        <v>0.1316469933443102</v>
      </c>
      <c r="AW44" s="35">
        <v>0.004836890421351359</v>
      </c>
      <c r="AX44" s="35">
        <v>0.259</v>
      </c>
      <c r="AY44" s="358">
        <v>0.272</v>
      </c>
      <c r="AZ44" s="358">
        <v>0.28400000000000003</v>
      </c>
      <c r="BA44" s="358">
        <v>0.32599999999999996</v>
      </c>
      <c r="BB44" s="148"/>
      <c r="BD44" s="3"/>
      <c r="BG44" s="3"/>
    </row>
    <row r="45" spans="1:59" ht="12.75" customHeight="1">
      <c r="A45" s="145" t="s">
        <v>87</v>
      </c>
      <c r="B45" s="144"/>
      <c r="C45" s="228">
        <v>-3.694888962203019</v>
      </c>
      <c r="D45" s="41"/>
      <c r="E45" s="41"/>
      <c r="F45" s="35" t="e">
        <v>#DIV/0!</v>
      </c>
      <c r="G45" s="35">
        <v>-0.1680435802157365</v>
      </c>
      <c r="H45" s="35">
        <v>-0.2107893335517962</v>
      </c>
      <c r="I45" s="35">
        <v>-0.19119290663884955</v>
      </c>
      <c r="J45" s="35">
        <v>-0.2343667566644943</v>
      </c>
      <c r="K45" s="35">
        <v>-0.13109469059370632</v>
      </c>
      <c r="L45" s="35">
        <v>-0.5804154799798962</v>
      </c>
      <c r="M45" s="35">
        <v>-0.19607256507193951</v>
      </c>
      <c r="N45" s="35">
        <v>-0.013342977330262481</v>
      </c>
      <c r="O45" s="35">
        <v>-0.021291871396199324</v>
      </c>
      <c r="P45" s="35">
        <v>0.04081245254365983</v>
      </c>
      <c r="Q45" s="35">
        <v>0.046401255864045414</v>
      </c>
      <c r="R45" s="35">
        <v>0.1254676496478873</v>
      </c>
      <c r="S45" s="35">
        <v>0.11870435429087887</v>
      </c>
      <c r="T45" s="35">
        <v>-0.07714587215698601</v>
      </c>
      <c r="U45" s="35">
        <v>-0.03594805855063868</v>
      </c>
      <c r="V45" s="35">
        <v>-0.019458083287870524</v>
      </c>
      <c r="W45" s="35">
        <v>-0.001681711866700172</v>
      </c>
      <c r="X45" s="35">
        <v>-0.08206686930091185</v>
      </c>
      <c r="Y45" s="41" t="s">
        <v>214</v>
      </c>
      <c r="Z45" s="41" t="s">
        <v>214</v>
      </c>
      <c r="AA45" s="41" t="s">
        <v>214</v>
      </c>
      <c r="AB45" s="41" t="s">
        <v>214</v>
      </c>
      <c r="AC45" s="41" t="s">
        <v>214</v>
      </c>
      <c r="AD45" s="41" t="s">
        <v>214</v>
      </c>
      <c r="AE45" s="41" t="s">
        <v>214</v>
      </c>
      <c r="AF45" s="41" t="s">
        <v>214</v>
      </c>
      <c r="AG45" s="41"/>
      <c r="AH45" s="41"/>
      <c r="AI45" s="41"/>
      <c r="AJ45" s="41"/>
      <c r="AK45" s="41"/>
      <c r="AL45" s="243"/>
      <c r="AM45" s="35">
        <v>-0.189125534986198</v>
      </c>
      <c r="AN45" s="35">
        <v>-0.30280028244388285</v>
      </c>
      <c r="AO45" s="228">
        <v>11.367474745768485</v>
      </c>
      <c r="AP45" s="41"/>
      <c r="AQ45" s="243"/>
      <c r="AR45" s="35">
        <v>-0.2870329984626935</v>
      </c>
      <c r="AS45" s="35">
        <v>0.014184432748127224</v>
      </c>
      <c r="AT45" s="35">
        <v>0.0520577217666671</v>
      </c>
      <c r="AU45" s="35">
        <v>-0.04276488136608107</v>
      </c>
      <c r="AV45" s="573" t="s">
        <v>214</v>
      </c>
      <c r="AW45" s="41" t="s">
        <v>214</v>
      </c>
      <c r="AX45" s="41" t="s">
        <v>214</v>
      </c>
      <c r="AY45" s="41" t="s">
        <v>214</v>
      </c>
      <c r="AZ45" s="573" t="s">
        <v>214</v>
      </c>
      <c r="BA45" s="358"/>
      <c r="BB45" s="148"/>
      <c r="BD45" s="3"/>
      <c r="BG45" s="3"/>
    </row>
    <row r="46" spans="1:59" ht="12.75" customHeight="1">
      <c r="A46" s="144"/>
      <c r="B46" s="144"/>
      <c r="C46" s="3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148"/>
      <c r="AD46" s="83"/>
      <c r="AE46" s="83"/>
      <c r="AF46" s="83"/>
      <c r="AG46" s="83"/>
      <c r="AH46" s="186"/>
      <c r="AI46" s="186"/>
      <c r="AJ46" s="186"/>
      <c r="AK46" s="186"/>
      <c r="AL46" s="148"/>
      <c r="AM46" s="148"/>
      <c r="AN46" s="148"/>
      <c r="AO46" s="31"/>
      <c r="AP46" s="41"/>
      <c r="AQ46" s="148"/>
      <c r="AR46" s="35"/>
      <c r="AS46" s="35"/>
      <c r="AT46" s="35"/>
      <c r="AU46" s="35"/>
      <c r="AV46" s="148"/>
      <c r="AW46" s="31"/>
      <c r="AX46" s="31"/>
      <c r="AY46" s="359"/>
      <c r="AZ46" s="359"/>
      <c r="BA46" s="359"/>
      <c r="BB46" s="148"/>
      <c r="BD46" s="3"/>
      <c r="BG46" s="3"/>
    </row>
    <row r="47" spans="1:59" ht="13.5" customHeight="1">
      <c r="A47" s="7" t="s">
        <v>343</v>
      </c>
      <c r="B47" s="144"/>
      <c r="C47" s="31">
        <v>279</v>
      </c>
      <c r="D47" s="41">
        <v>0.3527180783817952</v>
      </c>
      <c r="E47" s="41"/>
      <c r="F47" s="31">
        <v>0</v>
      </c>
      <c r="G47" s="31">
        <v>1070</v>
      </c>
      <c r="H47" s="31">
        <v>935</v>
      </c>
      <c r="I47" s="31">
        <v>880</v>
      </c>
      <c r="J47" s="31">
        <v>835</v>
      </c>
      <c r="K47" s="31">
        <v>791</v>
      </c>
      <c r="L47" s="31">
        <v>784</v>
      </c>
      <c r="M47" s="31">
        <v>709</v>
      </c>
      <c r="N47" s="31">
        <v>677</v>
      </c>
      <c r="O47" s="31">
        <v>607</v>
      </c>
      <c r="P47" s="31">
        <v>574</v>
      </c>
      <c r="Q47" s="31">
        <v>575</v>
      </c>
      <c r="R47" s="31">
        <v>546</v>
      </c>
      <c r="S47" s="31">
        <v>514</v>
      </c>
      <c r="T47" s="31">
        <v>473</v>
      </c>
      <c r="U47" s="31">
        <v>431</v>
      </c>
      <c r="V47" s="31">
        <v>445</v>
      </c>
      <c r="W47" s="31"/>
      <c r="X47" s="31"/>
      <c r="Y47" s="31"/>
      <c r="Z47" s="31"/>
      <c r="AA47" s="31"/>
      <c r="AB47" s="31"/>
      <c r="AC47" s="31"/>
      <c r="AD47" s="31"/>
      <c r="AE47" s="31"/>
      <c r="AF47" s="31"/>
      <c r="AG47" s="31"/>
      <c r="AH47" s="31"/>
      <c r="AI47" s="31"/>
      <c r="AJ47" s="31"/>
      <c r="AK47" s="31"/>
      <c r="AL47" s="148"/>
      <c r="AM47" s="213">
        <v>1070</v>
      </c>
      <c r="AN47" s="213">
        <v>791</v>
      </c>
      <c r="AO47" s="31">
        <v>279</v>
      </c>
      <c r="AP47" s="41">
        <v>0.3527180783817952</v>
      </c>
      <c r="AQ47" s="148"/>
      <c r="AR47" s="31">
        <v>835</v>
      </c>
      <c r="AS47" s="31">
        <v>677</v>
      </c>
      <c r="AT47" s="31">
        <v>546</v>
      </c>
      <c r="AU47" s="31">
        <v>445</v>
      </c>
      <c r="AV47" s="31">
        <v>393</v>
      </c>
      <c r="AW47" s="31">
        <v>730</v>
      </c>
      <c r="AX47" s="31"/>
      <c r="AY47" s="359"/>
      <c r="AZ47" s="359"/>
      <c r="BA47" s="359"/>
      <c r="BB47" s="148"/>
      <c r="BD47" s="3"/>
      <c r="BG47" s="3"/>
    </row>
    <row r="48" spans="1:59" ht="13.5" customHeight="1">
      <c r="A48" s="779" t="s">
        <v>337</v>
      </c>
      <c r="B48" s="146"/>
      <c r="C48" s="31">
        <v>-1867</v>
      </c>
      <c r="D48" s="41">
        <v>-0.16372884328685433</v>
      </c>
      <c r="E48" s="41"/>
      <c r="F48" s="31">
        <v>0</v>
      </c>
      <c r="G48" s="31">
        <v>9536</v>
      </c>
      <c r="H48" s="31">
        <v>9427</v>
      </c>
      <c r="I48" s="31">
        <v>9325</v>
      </c>
      <c r="J48" s="31">
        <v>10429</v>
      </c>
      <c r="K48" s="31">
        <v>11403</v>
      </c>
      <c r="L48" s="31">
        <v>13344</v>
      </c>
      <c r="M48" s="31">
        <v>13137</v>
      </c>
      <c r="N48" s="31">
        <v>14828</v>
      </c>
      <c r="O48" s="31">
        <v>14367</v>
      </c>
      <c r="P48" s="31">
        <v>14635</v>
      </c>
      <c r="Q48" s="31">
        <v>15676</v>
      </c>
      <c r="R48" s="31">
        <v>16985</v>
      </c>
      <c r="S48" s="31">
        <v>16006</v>
      </c>
      <c r="T48" s="31">
        <v>13895</v>
      </c>
      <c r="U48" s="31">
        <v>12571</v>
      </c>
      <c r="V48" s="31">
        <v>12922</v>
      </c>
      <c r="W48" s="31">
        <v>12210</v>
      </c>
      <c r="X48" s="31">
        <v>11386</v>
      </c>
      <c r="Y48" s="31">
        <v>10341</v>
      </c>
      <c r="Z48" s="31">
        <v>9184</v>
      </c>
      <c r="AA48" s="31">
        <v>9030</v>
      </c>
      <c r="AB48" s="31">
        <v>11584</v>
      </c>
      <c r="AC48" s="31">
        <v>14695</v>
      </c>
      <c r="AD48" s="31">
        <v>14295</v>
      </c>
      <c r="AE48" s="31">
        <v>14860</v>
      </c>
      <c r="AF48" s="31">
        <v>15288</v>
      </c>
      <c r="AG48" s="31">
        <v>15701</v>
      </c>
      <c r="AH48" s="31">
        <v>15014</v>
      </c>
      <c r="AI48" s="31">
        <v>14121</v>
      </c>
      <c r="AJ48" s="31">
        <v>13826</v>
      </c>
      <c r="AK48" s="31">
        <v>13942</v>
      </c>
      <c r="AL48" s="148"/>
      <c r="AM48" s="213">
        <v>9536</v>
      </c>
      <c r="AN48" s="213">
        <v>11403</v>
      </c>
      <c r="AO48" s="31">
        <v>-1867</v>
      </c>
      <c r="AP48" s="41">
        <v>-0.16372884328685433</v>
      </c>
      <c r="AQ48" s="148"/>
      <c r="AR48" s="31">
        <v>10429</v>
      </c>
      <c r="AS48" s="31">
        <v>14828</v>
      </c>
      <c r="AT48" s="31">
        <v>16985</v>
      </c>
      <c r="AU48" s="31">
        <v>12922</v>
      </c>
      <c r="AV48" s="31">
        <v>9184</v>
      </c>
      <c r="AW48" s="31">
        <v>14295</v>
      </c>
      <c r="AX48" s="31">
        <v>15014</v>
      </c>
      <c r="AY48" s="779">
        <v>14310</v>
      </c>
      <c r="AZ48" s="779">
        <v>9967</v>
      </c>
      <c r="BA48" s="779">
        <v>8292</v>
      </c>
      <c r="BB48" s="148"/>
      <c r="BD48" s="3"/>
      <c r="BG48" s="3"/>
    </row>
    <row r="49" spans="1:59" ht="13.5" customHeight="1" hidden="1">
      <c r="A49" s="779" t="s">
        <v>381</v>
      </c>
      <c r="B49" s="146"/>
      <c r="C49" s="31">
        <v>-408</v>
      </c>
      <c r="D49" s="41">
        <v>-1</v>
      </c>
      <c r="E49" s="839"/>
      <c r="F49" s="31">
        <v>0</v>
      </c>
      <c r="G49" s="31">
        <v>0</v>
      </c>
      <c r="H49" s="31">
        <v>0</v>
      </c>
      <c r="I49" s="31">
        <v>360</v>
      </c>
      <c r="J49" s="31">
        <v>451</v>
      </c>
      <c r="K49" s="31">
        <v>408</v>
      </c>
      <c r="L49" s="31">
        <v>354</v>
      </c>
      <c r="M49" s="31">
        <v>305.208757658577</v>
      </c>
      <c r="N49" s="254">
        <v>0</v>
      </c>
      <c r="O49" s="254">
        <v>0</v>
      </c>
      <c r="P49" s="254">
        <v>0</v>
      </c>
      <c r="Q49" s="254">
        <v>0</v>
      </c>
      <c r="R49" s="254">
        <v>0</v>
      </c>
      <c r="S49" s="254">
        <v>0</v>
      </c>
      <c r="T49" s="254">
        <v>0</v>
      </c>
      <c r="U49" s="254">
        <v>0</v>
      </c>
      <c r="V49" s="31"/>
      <c r="W49" s="31"/>
      <c r="X49" s="31"/>
      <c r="Y49" s="31"/>
      <c r="Z49" s="31"/>
      <c r="AA49" s="31"/>
      <c r="AB49" s="31"/>
      <c r="AC49" s="31"/>
      <c r="AD49" s="31"/>
      <c r="AE49" s="31"/>
      <c r="AF49" s="31"/>
      <c r="AG49" s="31"/>
      <c r="AH49" s="31"/>
      <c r="AI49" s="31"/>
      <c r="AJ49" s="31"/>
      <c r="AK49" s="31"/>
      <c r="AL49" s="840"/>
      <c r="AM49" s="213">
        <v>0</v>
      </c>
      <c r="AN49" s="213">
        <v>354</v>
      </c>
      <c r="AO49" s="31">
        <v>-354</v>
      </c>
      <c r="AP49" s="254" t="s">
        <v>44</v>
      </c>
      <c r="AQ49" s="840"/>
      <c r="AR49" s="31">
        <v>451</v>
      </c>
      <c r="AS49" s="254">
        <v>0</v>
      </c>
      <c r="AT49" s="254">
        <v>0</v>
      </c>
      <c r="AU49" s="254">
        <v>0</v>
      </c>
      <c r="AV49" s="254">
        <v>0</v>
      </c>
      <c r="AW49" s="254">
        <v>0</v>
      </c>
      <c r="AX49" s="31"/>
      <c r="AY49" s="144"/>
      <c r="AZ49" s="144"/>
      <c r="BA49" s="144"/>
      <c r="BB49" s="148"/>
      <c r="BD49" s="3"/>
      <c r="BG49" s="3"/>
    </row>
    <row r="50" spans="1:59" ht="12.75" customHeight="1" hidden="1">
      <c r="A50" s="779" t="s">
        <v>67</v>
      </c>
      <c r="B50" s="146"/>
      <c r="C50" s="31">
        <v>-2275</v>
      </c>
      <c r="D50" s="41">
        <v>-0.19261705190077047</v>
      </c>
      <c r="E50" s="41"/>
      <c r="F50" s="31">
        <v>0</v>
      </c>
      <c r="G50" s="31">
        <v>9536</v>
      </c>
      <c r="H50" s="31">
        <v>9427</v>
      </c>
      <c r="I50" s="31">
        <v>9685</v>
      </c>
      <c r="J50" s="31">
        <v>10880</v>
      </c>
      <c r="K50" s="31">
        <v>11811</v>
      </c>
      <c r="L50" s="31">
        <v>13698</v>
      </c>
      <c r="M50" s="31">
        <v>13442.208757658576</v>
      </c>
      <c r="N50" s="31">
        <v>14828</v>
      </c>
      <c r="O50" s="31">
        <v>14367</v>
      </c>
      <c r="P50" s="31">
        <v>14635</v>
      </c>
      <c r="Q50" s="31">
        <v>15676</v>
      </c>
      <c r="R50" s="31">
        <v>16985</v>
      </c>
      <c r="S50" s="31">
        <v>16006</v>
      </c>
      <c r="T50" s="31">
        <v>13895</v>
      </c>
      <c r="U50" s="31">
        <v>12571</v>
      </c>
      <c r="V50" s="31"/>
      <c r="W50" s="31"/>
      <c r="X50" s="31"/>
      <c r="Y50" s="31"/>
      <c r="Z50" s="31"/>
      <c r="AA50" s="31"/>
      <c r="AB50" s="31"/>
      <c r="AC50" s="31"/>
      <c r="AD50" s="31"/>
      <c r="AE50" s="31"/>
      <c r="AF50" s="31"/>
      <c r="AG50" s="31"/>
      <c r="AH50" s="31"/>
      <c r="AI50" s="31"/>
      <c r="AJ50" s="31"/>
      <c r="AK50" s="31"/>
      <c r="AL50" s="148"/>
      <c r="AM50" s="213">
        <v>9427</v>
      </c>
      <c r="AN50" s="213">
        <v>13698</v>
      </c>
      <c r="AO50" s="31">
        <v>-4271</v>
      </c>
      <c r="AP50" s="41">
        <v>-0.31179734267776316</v>
      </c>
      <c r="AQ50" s="148"/>
      <c r="AR50" s="31">
        <v>10880</v>
      </c>
      <c r="AS50" s="31">
        <v>14828</v>
      </c>
      <c r="AT50" s="31">
        <v>16985</v>
      </c>
      <c r="AU50" s="31">
        <v>12922</v>
      </c>
      <c r="AV50" s="31">
        <v>9184</v>
      </c>
      <c r="AW50" s="31">
        <v>14295</v>
      </c>
      <c r="AX50" s="31"/>
      <c r="AY50" s="144"/>
      <c r="AZ50" s="144"/>
      <c r="BA50" s="144"/>
      <c r="BB50" s="148"/>
      <c r="BD50" s="3"/>
      <c r="BG50" s="3"/>
    </row>
    <row r="51" spans="1:59" ht="12.75" customHeight="1">
      <c r="A51" s="779"/>
      <c r="B51" s="146"/>
      <c r="C51" s="31"/>
      <c r="D51" s="41"/>
      <c r="E51" s="41"/>
      <c r="F51" s="31"/>
      <c r="G51" s="31"/>
      <c r="H51" s="31"/>
      <c r="I51" s="31"/>
      <c r="J51" s="31"/>
      <c r="K51" s="31"/>
      <c r="L51" s="31"/>
      <c r="M51" s="31"/>
      <c r="N51" s="41"/>
      <c r="O51" s="41"/>
      <c r="P51" s="41"/>
      <c r="Q51" s="41"/>
      <c r="R51" s="41"/>
      <c r="S51" s="41"/>
      <c r="T51" s="41"/>
      <c r="U51" s="41"/>
      <c r="V51" s="31"/>
      <c r="W51" s="31"/>
      <c r="X51" s="31"/>
      <c r="Y51" s="31"/>
      <c r="Z51" s="31"/>
      <c r="AA51" s="31"/>
      <c r="AB51" s="31"/>
      <c r="AC51" s="31"/>
      <c r="AD51" s="31"/>
      <c r="AE51" s="31"/>
      <c r="AF51" s="31"/>
      <c r="AG51" s="31"/>
      <c r="AH51" s="31"/>
      <c r="AI51" s="31"/>
      <c r="AJ51" s="31"/>
      <c r="AK51" s="31"/>
      <c r="AL51" s="148"/>
      <c r="AM51" s="148"/>
      <c r="AN51" s="148"/>
      <c r="AO51" s="31"/>
      <c r="AP51" s="41"/>
      <c r="AQ51" s="148"/>
      <c r="AR51" s="41"/>
      <c r="AS51" s="41"/>
      <c r="AT51" s="41"/>
      <c r="AU51" s="41"/>
      <c r="AV51" s="41"/>
      <c r="AW51" s="41"/>
      <c r="AX51" s="31"/>
      <c r="AY51" s="144"/>
      <c r="AZ51" s="144"/>
      <c r="BA51" s="144"/>
      <c r="BB51" s="148"/>
      <c r="BD51" s="3"/>
      <c r="BG51" s="3"/>
    </row>
    <row r="52" spans="1:59" ht="12.75" customHeight="1">
      <c r="A52" s="145" t="s">
        <v>100</v>
      </c>
      <c r="B52" s="146"/>
      <c r="C52" s="31">
        <v>-68</v>
      </c>
      <c r="D52" s="41">
        <v>-0.13793103448275862</v>
      </c>
      <c r="E52" s="41"/>
      <c r="F52" s="31">
        <v>0</v>
      </c>
      <c r="G52" s="31">
        <v>425</v>
      </c>
      <c r="H52" s="31">
        <v>430</v>
      </c>
      <c r="I52" s="31">
        <v>448</v>
      </c>
      <c r="J52" s="31">
        <v>461</v>
      </c>
      <c r="K52" s="31">
        <v>493</v>
      </c>
      <c r="L52" s="31">
        <v>617</v>
      </c>
      <c r="M52" s="31">
        <v>662</v>
      </c>
      <c r="N52" s="31">
        <v>684</v>
      </c>
      <c r="O52" s="31">
        <v>699</v>
      </c>
      <c r="P52" s="31">
        <v>686</v>
      </c>
      <c r="Q52" s="31">
        <v>666</v>
      </c>
      <c r="R52" s="31">
        <v>684</v>
      </c>
      <c r="S52" s="31">
        <v>671</v>
      </c>
      <c r="T52" s="31">
        <v>665</v>
      </c>
      <c r="U52" s="31">
        <v>689</v>
      </c>
      <c r="V52" s="31">
        <v>680</v>
      </c>
      <c r="W52" s="31">
        <v>707</v>
      </c>
      <c r="X52" s="31">
        <v>698</v>
      </c>
      <c r="Y52" s="31">
        <v>688</v>
      </c>
      <c r="Z52" s="31">
        <v>700</v>
      </c>
      <c r="AA52" s="31">
        <v>725</v>
      </c>
      <c r="AB52" s="31">
        <v>744</v>
      </c>
      <c r="AC52" s="31">
        <v>760</v>
      </c>
      <c r="AD52" s="31">
        <v>762</v>
      </c>
      <c r="AE52" s="31">
        <v>772</v>
      </c>
      <c r="AF52" s="31">
        <v>784</v>
      </c>
      <c r="AG52" s="31">
        <v>757</v>
      </c>
      <c r="AH52" s="31">
        <v>728</v>
      </c>
      <c r="AI52" s="31">
        <v>725</v>
      </c>
      <c r="AJ52" s="31">
        <v>719</v>
      </c>
      <c r="AK52" s="31">
        <v>710</v>
      </c>
      <c r="AL52" s="148"/>
      <c r="AM52" s="213">
        <v>425</v>
      </c>
      <c r="AN52" s="213">
        <v>493</v>
      </c>
      <c r="AO52" s="31">
        <v>-68</v>
      </c>
      <c r="AP52" s="41">
        <v>-0.13793103448275862</v>
      </c>
      <c r="AQ52" s="148"/>
      <c r="AR52" s="31">
        <v>461</v>
      </c>
      <c r="AS52" s="31">
        <v>684</v>
      </c>
      <c r="AT52" s="31">
        <v>684</v>
      </c>
      <c r="AU52" s="31">
        <v>680</v>
      </c>
      <c r="AV52" s="31">
        <v>700</v>
      </c>
      <c r="AW52" s="31">
        <v>762</v>
      </c>
      <c r="AX52" s="31">
        <v>728</v>
      </c>
      <c r="AY52" s="779">
        <v>689</v>
      </c>
      <c r="AZ52" s="779">
        <v>657</v>
      </c>
      <c r="BA52" s="779">
        <v>623</v>
      </c>
      <c r="BB52" s="148"/>
      <c r="BD52" s="3"/>
      <c r="BG52" s="3"/>
    </row>
    <row r="53" spans="1:59" ht="13.5" customHeight="1">
      <c r="A53" s="227" t="s">
        <v>336</v>
      </c>
      <c r="B53" s="145"/>
      <c r="C53" s="31">
        <v>-21</v>
      </c>
      <c r="D53" s="41">
        <v>-0.11413043478260869</v>
      </c>
      <c r="E53" s="41"/>
      <c r="F53" s="31">
        <v>0</v>
      </c>
      <c r="G53" s="31">
        <v>163</v>
      </c>
      <c r="H53" s="31">
        <v>163</v>
      </c>
      <c r="I53" s="31">
        <v>173</v>
      </c>
      <c r="J53" s="31">
        <v>178</v>
      </c>
      <c r="K53" s="31">
        <v>184</v>
      </c>
      <c r="L53" s="31">
        <v>231</v>
      </c>
      <c r="M53" s="31">
        <v>269</v>
      </c>
      <c r="N53" s="31">
        <v>280</v>
      </c>
      <c r="O53" s="31">
        <v>278</v>
      </c>
      <c r="P53" s="31">
        <v>271</v>
      </c>
      <c r="Q53" s="31">
        <v>263</v>
      </c>
      <c r="R53" s="31">
        <v>271</v>
      </c>
      <c r="S53" s="31">
        <v>272</v>
      </c>
      <c r="T53" s="31">
        <v>280</v>
      </c>
      <c r="U53" s="31">
        <v>290</v>
      </c>
      <c r="V53" s="31">
        <v>303</v>
      </c>
      <c r="W53" s="31">
        <v>327</v>
      </c>
      <c r="X53" s="31">
        <v>334</v>
      </c>
      <c r="Y53" s="31">
        <v>335</v>
      </c>
      <c r="Z53" s="31">
        <v>338</v>
      </c>
      <c r="AA53" s="31">
        <v>347</v>
      </c>
      <c r="AB53" s="31">
        <v>341</v>
      </c>
      <c r="AC53" s="31">
        <v>354</v>
      </c>
      <c r="AD53" s="31">
        <v>354</v>
      </c>
      <c r="AE53" s="31">
        <v>377</v>
      </c>
      <c r="AF53" s="31">
        <v>378</v>
      </c>
      <c r="AG53" s="31">
        <v>373</v>
      </c>
      <c r="AH53" s="31">
        <v>368</v>
      </c>
      <c r="AI53" s="31">
        <v>368</v>
      </c>
      <c r="AJ53" s="31">
        <v>371</v>
      </c>
      <c r="AK53" s="31">
        <v>373</v>
      </c>
      <c r="AL53" s="148"/>
      <c r="AM53" s="213">
        <v>163</v>
      </c>
      <c r="AN53" s="213">
        <v>184</v>
      </c>
      <c r="AO53" s="31">
        <v>-21</v>
      </c>
      <c r="AP53" s="41">
        <v>-0.11413043478260869</v>
      </c>
      <c r="AQ53" s="148"/>
      <c r="AR53" s="31">
        <v>178</v>
      </c>
      <c r="AS53" s="31">
        <v>280</v>
      </c>
      <c r="AT53" s="31">
        <v>271</v>
      </c>
      <c r="AU53" s="31">
        <v>303</v>
      </c>
      <c r="AV53" s="31">
        <v>338</v>
      </c>
      <c r="AW53" s="31">
        <v>354</v>
      </c>
      <c r="AX53" s="31">
        <v>368</v>
      </c>
      <c r="AY53" s="779">
        <v>365</v>
      </c>
      <c r="AZ53" s="779">
        <v>343</v>
      </c>
      <c r="BA53" s="779">
        <v>327</v>
      </c>
      <c r="BB53" s="148"/>
      <c r="BD53" s="3"/>
      <c r="BG53" s="3"/>
    </row>
    <row r="54" spans="1:59" ht="12.75" customHeight="1" hidden="1">
      <c r="A54" s="227" t="s">
        <v>378</v>
      </c>
      <c r="B54" s="145"/>
      <c r="C54" s="31">
        <v>-11</v>
      </c>
      <c r="D54" s="41" t="s">
        <v>44</v>
      </c>
      <c r="E54" s="41"/>
      <c r="F54" s="31">
        <v>0</v>
      </c>
      <c r="G54" s="31">
        <v>0</v>
      </c>
      <c r="H54" s="31">
        <v>0</v>
      </c>
      <c r="I54" s="31">
        <v>7</v>
      </c>
      <c r="J54" s="31">
        <v>12</v>
      </c>
      <c r="K54" s="31">
        <v>11</v>
      </c>
      <c r="L54" s="31">
        <v>11</v>
      </c>
      <c r="M54" s="31">
        <v>10</v>
      </c>
      <c r="N54" s="254">
        <v>0</v>
      </c>
      <c r="O54" s="254">
        <v>0</v>
      </c>
      <c r="P54" s="254">
        <v>0</v>
      </c>
      <c r="Q54" s="254">
        <v>0</v>
      </c>
      <c r="R54" s="254">
        <v>0</v>
      </c>
      <c r="S54" s="254">
        <v>0</v>
      </c>
      <c r="T54" s="254">
        <v>0</v>
      </c>
      <c r="U54" s="254">
        <v>0</v>
      </c>
      <c r="V54" s="31"/>
      <c r="W54" s="31"/>
      <c r="X54" s="31"/>
      <c r="Y54" s="31"/>
      <c r="Z54" s="31"/>
      <c r="AA54" s="31"/>
      <c r="AB54" s="31"/>
      <c r="AC54" s="31"/>
      <c r="AD54" s="31"/>
      <c r="AE54" s="31"/>
      <c r="AF54" s="31"/>
      <c r="AG54" s="31"/>
      <c r="AH54" s="31"/>
      <c r="AI54" s="31"/>
      <c r="AJ54" s="31"/>
      <c r="AK54" s="31"/>
      <c r="AL54" s="840"/>
      <c r="AM54" s="213">
        <v>11</v>
      </c>
      <c r="AN54" s="213">
        <v>11</v>
      </c>
      <c r="AO54" s="31">
        <v>0</v>
      </c>
      <c r="AP54" s="41" t="s">
        <v>44</v>
      </c>
      <c r="AQ54" s="840"/>
      <c r="AR54" s="31">
        <v>12</v>
      </c>
      <c r="AS54" s="254">
        <v>0</v>
      </c>
      <c r="AT54" s="254">
        <v>0</v>
      </c>
      <c r="AU54" s="254">
        <v>0</v>
      </c>
      <c r="AV54" s="254">
        <v>0</v>
      </c>
      <c r="AW54" s="254">
        <v>0</v>
      </c>
      <c r="AX54" s="31"/>
      <c r="AY54" s="779"/>
      <c r="AZ54" s="779"/>
      <c r="BA54" s="779"/>
      <c r="BB54" s="148"/>
      <c r="BD54" s="3"/>
      <c r="BG54" s="3"/>
    </row>
    <row r="55" spans="1:59" ht="12.75" customHeight="1">
      <c r="A55" s="7"/>
      <c r="B55" s="7"/>
      <c r="C55" s="148"/>
      <c r="D55" s="148"/>
      <c r="E55" s="148"/>
      <c r="F55" s="148"/>
      <c r="G55" s="148"/>
      <c r="H55" s="148"/>
      <c r="I55" s="7"/>
      <c r="J55" s="148"/>
      <c r="K55" s="148"/>
      <c r="L55" s="148"/>
      <c r="M55" s="7"/>
      <c r="N55" s="148"/>
      <c r="O55" s="148"/>
      <c r="P55" s="148"/>
      <c r="Q55" s="7"/>
      <c r="R55" s="148"/>
      <c r="S55" s="148"/>
      <c r="T55" s="148"/>
      <c r="U55" s="7"/>
      <c r="V55" s="148"/>
      <c r="W55" s="148"/>
      <c r="X55" s="148"/>
      <c r="Y55" s="7"/>
      <c r="Z55" s="148"/>
      <c r="AA55" s="148"/>
      <c r="AB55" s="148"/>
      <c r="AC55" s="7"/>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4"/>
      <c r="AZ55" s="83"/>
      <c r="BA55" s="83"/>
      <c r="BB55" s="148"/>
      <c r="BD55" s="3"/>
      <c r="BG55" s="3"/>
    </row>
    <row r="56" spans="1:59" ht="18" customHeight="1">
      <c r="A56" s="12" t="s">
        <v>324</v>
      </c>
      <c r="B56" s="7"/>
      <c r="C56" s="83"/>
      <c r="D56" s="83"/>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83"/>
      <c r="AG56" s="83"/>
      <c r="AH56" s="83"/>
      <c r="AI56" s="83"/>
      <c r="AJ56" s="83"/>
      <c r="AK56" s="83"/>
      <c r="AL56" s="83"/>
      <c r="AM56" s="83"/>
      <c r="AN56" s="83"/>
      <c r="AO56" s="148"/>
      <c r="AP56" s="148"/>
      <c r="AQ56" s="83"/>
      <c r="AR56" s="83"/>
      <c r="AS56" s="83"/>
      <c r="AT56" s="83"/>
      <c r="AU56" s="83"/>
      <c r="AV56" s="83"/>
      <c r="AW56" s="83"/>
      <c r="AX56" s="83"/>
      <c r="AY56" s="144"/>
      <c r="AZ56" s="83"/>
      <c r="BA56" s="83"/>
      <c r="BB56" s="148"/>
      <c r="BD56" s="3"/>
      <c r="BG56" s="3"/>
    </row>
    <row r="57" spans="1:59" ht="12.75" customHeight="1">
      <c r="A57" s="193"/>
      <c r="B57" s="7"/>
      <c r="C57" s="83"/>
      <c r="D57" s="83"/>
      <c r="E57" s="148"/>
      <c r="F57" s="468"/>
      <c r="G57" s="468"/>
      <c r="H57" s="468"/>
      <c r="I57" s="148"/>
      <c r="J57" s="468"/>
      <c r="K57" s="468"/>
      <c r="L57" s="468"/>
      <c r="M57" s="148"/>
      <c r="N57" s="468"/>
      <c r="O57" s="148"/>
      <c r="P57" s="468"/>
      <c r="Q57" s="148"/>
      <c r="R57" s="468"/>
      <c r="S57" s="148"/>
      <c r="T57" s="468"/>
      <c r="U57" s="148"/>
      <c r="V57" s="468"/>
      <c r="W57" s="148"/>
      <c r="X57" s="468"/>
      <c r="Y57" s="148"/>
      <c r="Z57" s="468"/>
      <c r="AA57" s="148"/>
      <c r="AB57" s="148"/>
      <c r="AC57" s="148"/>
      <c r="AD57" s="148"/>
      <c r="AE57" s="148"/>
      <c r="AF57" s="83"/>
      <c r="AG57" s="83"/>
      <c r="AH57" s="83"/>
      <c r="AI57" s="83"/>
      <c r="AJ57" s="83"/>
      <c r="AK57" s="83"/>
      <c r="AL57" s="83"/>
      <c r="AM57" s="83"/>
      <c r="AN57" s="83"/>
      <c r="AO57" s="148"/>
      <c r="AP57" s="148"/>
      <c r="AQ57" s="83"/>
      <c r="AR57" s="83"/>
      <c r="AS57" s="83"/>
      <c r="AT57" s="83"/>
      <c r="AU57" s="83"/>
      <c r="AV57" s="83"/>
      <c r="AW57" s="83"/>
      <c r="AX57" s="83"/>
      <c r="AY57" s="357"/>
      <c r="AZ57" s="357"/>
      <c r="BA57" s="357"/>
      <c r="BB57" s="148"/>
      <c r="BD57" s="3"/>
      <c r="BG57" s="3"/>
    </row>
    <row r="58" spans="1:59" ht="12.75" customHeight="1">
      <c r="A58" s="6"/>
      <c r="B58" s="7"/>
      <c r="C58" s="1437" t="s">
        <v>497</v>
      </c>
      <c r="D58" s="1438"/>
      <c r="E58" s="259"/>
      <c r="F58" s="477"/>
      <c r="G58" s="477"/>
      <c r="H58" s="477"/>
      <c r="I58" s="19"/>
      <c r="J58" s="477"/>
      <c r="K58" s="477"/>
      <c r="L58" s="477"/>
      <c r="M58" s="19"/>
      <c r="N58" s="17"/>
      <c r="O58" s="18"/>
      <c r="P58" s="477"/>
      <c r="Q58" s="19"/>
      <c r="R58" s="17"/>
      <c r="S58" s="18"/>
      <c r="T58" s="477"/>
      <c r="U58" s="19"/>
      <c r="W58" s="18"/>
      <c r="X58" s="2"/>
      <c r="Y58" s="19"/>
      <c r="Z58" s="18"/>
      <c r="AB58" s="477"/>
      <c r="AC58" s="19"/>
      <c r="AD58" s="18"/>
      <c r="AE58" s="18"/>
      <c r="AF58" s="18"/>
      <c r="AG58" s="18"/>
      <c r="AH58" s="22"/>
      <c r="AI58" s="19"/>
      <c r="AJ58" s="19"/>
      <c r="AK58" s="19"/>
      <c r="AL58" s="24"/>
      <c r="AM58" s="725" t="s">
        <v>406</v>
      </c>
      <c r="AN58" s="711"/>
      <c r="AO58" s="711" t="s">
        <v>480</v>
      </c>
      <c r="AP58" s="712"/>
      <c r="AQ58" s="15"/>
      <c r="AR58" s="88"/>
      <c r="AS58" s="88"/>
      <c r="AT58" s="88"/>
      <c r="AU58" s="88"/>
      <c r="AV58" s="88"/>
      <c r="AW58" s="196"/>
      <c r="AX58" s="194"/>
      <c r="AY58" s="88"/>
      <c r="AZ58" s="88"/>
      <c r="BA58" s="88"/>
      <c r="BB58" s="164"/>
      <c r="BD58" s="3"/>
      <c r="BG58" s="3"/>
    </row>
    <row r="59" spans="1:59" ht="12.75" customHeight="1">
      <c r="A59" s="6" t="s">
        <v>107</v>
      </c>
      <c r="B59" s="7"/>
      <c r="C59" s="1439" t="s">
        <v>41</v>
      </c>
      <c r="D59" s="1459"/>
      <c r="E59" s="730"/>
      <c r="F59" s="21" t="s">
        <v>431</v>
      </c>
      <c r="G59" s="21" t="s">
        <v>430</v>
      </c>
      <c r="H59" s="21" t="s">
        <v>429</v>
      </c>
      <c r="I59" s="14" t="s">
        <v>427</v>
      </c>
      <c r="J59" s="21" t="s">
        <v>362</v>
      </c>
      <c r="K59" s="21" t="s">
        <v>363</v>
      </c>
      <c r="L59" s="21" t="s">
        <v>364</v>
      </c>
      <c r="M59" s="14" t="s">
        <v>365</v>
      </c>
      <c r="N59" s="20" t="s">
        <v>277</v>
      </c>
      <c r="O59" s="21" t="s">
        <v>278</v>
      </c>
      <c r="P59" s="21" t="s">
        <v>279</v>
      </c>
      <c r="Q59" s="14" t="s">
        <v>276</v>
      </c>
      <c r="R59" s="20" t="s">
        <v>222</v>
      </c>
      <c r="S59" s="21" t="s">
        <v>223</v>
      </c>
      <c r="T59" s="21" t="s">
        <v>224</v>
      </c>
      <c r="U59" s="14" t="s">
        <v>225</v>
      </c>
      <c r="V59" s="21" t="s">
        <v>141</v>
      </c>
      <c r="W59" s="21" t="s">
        <v>140</v>
      </c>
      <c r="X59" s="21" t="s">
        <v>139</v>
      </c>
      <c r="Y59" s="14" t="s">
        <v>138</v>
      </c>
      <c r="Z59" s="21" t="s">
        <v>91</v>
      </c>
      <c r="AA59" s="21" t="s">
        <v>92</v>
      </c>
      <c r="AB59" s="21" t="s">
        <v>93</v>
      </c>
      <c r="AC59" s="14" t="s">
        <v>32</v>
      </c>
      <c r="AD59" s="21" t="s">
        <v>33</v>
      </c>
      <c r="AE59" s="21" t="s">
        <v>34</v>
      </c>
      <c r="AF59" s="21" t="s">
        <v>35</v>
      </c>
      <c r="AG59" s="21" t="s">
        <v>36</v>
      </c>
      <c r="AH59" s="23" t="s">
        <v>37</v>
      </c>
      <c r="AI59" s="14" t="s">
        <v>38</v>
      </c>
      <c r="AJ59" s="14" t="s">
        <v>39</v>
      </c>
      <c r="AK59" s="14" t="s">
        <v>40</v>
      </c>
      <c r="AL59" s="259"/>
      <c r="AM59" s="21" t="s">
        <v>430</v>
      </c>
      <c r="AN59" s="21" t="s">
        <v>363</v>
      </c>
      <c r="AO59" s="1454" t="s">
        <v>41</v>
      </c>
      <c r="AP59" s="1440"/>
      <c r="AQ59" s="197"/>
      <c r="AR59" s="20" t="s">
        <v>367</v>
      </c>
      <c r="AS59" s="20" t="s">
        <v>285</v>
      </c>
      <c r="AT59" s="20" t="s">
        <v>143</v>
      </c>
      <c r="AU59" s="20" t="s">
        <v>142</v>
      </c>
      <c r="AV59" s="23" t="s">
        <v>45</v>
      </c>
      <c r="AW59" s="20" t="s">
        <v>42</v>
      </c>
      <c r="AX59" s="23" t="s">
        <v>43</v>
      </c>
      <c r="AY59" s="23" t="s">
        <v>165</v>
      </c>
      <c r="AZ59" s="23" t="s">
        <v>166</v>
      </c>
      <c r="BA59" s="23" t="s">
        <v>167</v>
      </c>
      <c r="BB59" s="164"/>
      <c r="BD59" s="3"/>
      <c r="BG59" s="3"/>
    </row>
    <row r="60" spans="1:59" ht="12.75" customHeight="1">
      <c r="A60" s="147"/>
      <c r="B60" s="148" t="s">
        <v>4</v>
      </c>
      <c r="C60" s="464">
        <v>-7332</v>
      </c>
      <c r="D60" s="30">
        <v>-0.20918090782003368</v>
      </c>
      <c r="E60" s="89"/>
      <c r="F60" s="380"/>
      <c r="G60" s="380">
        <v>27719</v>
      </c>
      <c r="H60" s="380">
        <v>24413</v>
      </c>
      <c r="I60" s="424">
        <v>26842</v>
      </c>
      <c r="J60" s="380">
        <v>32223</v>
      </c>
      <c r="K60" s="380">
        <v>35051</v>
      </c>
      <c r="L60" s="380">
        <v>35814</v>
      </c>
      <c r="M60" s="424">
        <v>36767</v>
      </c>
      <c r="N60" s="380">
        <v>52537</v>
      </c>
      <c r="O60" s="380">
        <v>44571</v>
      </c>
      <c r="P60" s="380">
        <v>47412</v>
      </c>
      <c r="Q60" s="424">
        <v>54783</v>
      </c>
      <c r="R60" s="380">
        <v>72704</v>
      </c>
      <c r="S60" s="380">
        <v>68599</v>
      </c>
      <c r="T60" s="380">
        <v>44539</v>
      </c>
      <c r="U60" s="424">
        <v>47207</v>
      </c>
      <c r="V60" s="380">
        <v>54990</v>
      </c>
      <c r="W60" s="380">
        <v>51733</v>
      </c>
      <c r="X60" s="380">
        <v>40138</v>
      </c>
      <c r="Y60" s="424">
        <v>40185</v>
      </c>
      <c r="Z60" s="390">
        <v>37255</v>
      </c>
      <c r="AA60" s="380">
        <v>33532</v>
      </c>
      <c r="AB60" s="380">
        <v>43844</v>
      </c>
      <c r="AC60" s="424">
        <v>57853</v>
      </c>
      <c r="AD60" s="174">
        <v>54463</v>
      </c>
      <c r="AE60" s="212">
        <v>61166</v>
      </c>
      <c r="AF60" s="212">
        <v>57415</v>
      </c>
      <c r="AG60" s="216">
        <v>76083</v>
      </c>
      <c r="AH60" s="226">
        <v>75876</v>
      </c>
      <c r="AI60" s="216">
        <v>68831</v>
      </c>
      <c r="AJ60" s="216">
        <v>55626</v>
      </c>
      <c r="AK60" s="225">
        <v>72286</v>
      </c>
      <c r="AL60" s="89"/>
      <c r="AM60" s="380">
        <v>78974</v>
      </c>
      <c r="AN60" s="380">
        <v>107632</v>
      </c>
      <c r="AO60" s="31">
        <v>-28658</v>
      </c>
      <c r="AP60" s="588">
        <v>-0.26625910509885536</v>
      </c>
      <c r="AQ60" s="83"/>
      <c r="AR60" s="201">
        <v>139855</v>
      </c>
      <c r="AS60" s="179">
        <v>199303</v>
      </c>
      <c r="AT60" s="179">
        <v>233049</v>
      </c>
      <c r="AU60" s="179">
        <v>187046</v>
      </c>
      <c r="AV60" s="179">
        <v>172484</v>
      </c>
      <c r="AW60" s="224">
        <v>249127</v>
      </c>
      <c r="AX60" s="226">
        <v>272619</v>
      </c>
      <c r="AY60" s="226">
        <v>225194</v>
      </c>
      <c r="AZ60" s="226">
        <v>178176</v>
      </c>
      <c r="BA60" s="226">
        <v>175983</v>
      </c>
      <c r="BB60" s="164"/>
      <c r="BD60" s="3"/>
      <c r="BG60" s="3"/>
    </row>
    <row r="61" spans="1:59" ht="12.75" customHeight="1">
      <c r="A61" s="83"/>
      <c r="B61" s="148" t="s">
        <v>90</v>
      </c>
      <c r="C61" s="84">
        <v>-3170</v>
      </c>
      <c r="D61" s="45">
        <v>-0.10179833012202955</v>
      </c>
      <c r="E61" s="606"/>
      <c r="F61" s="466"/>
      <c r="G61" s="466">
        <v>27970</v>
      </c>
      <c r="H61" s="466">
        <v>26377</v>
      </c>
      <c r="I61" s="424">
        <v>27166</v>
      </c>
      <c r="J61" s="466">
        <v>31433</v>
      </c>
      <c r="K61" s="466">
        <v>31140</v>
      </c>
      <c r="L61" s="466">
        <v>33812</v>
      </c>
      <c r="M61" s="424">
        <v>34551</v>
      </c>
      <c r="N61" s="466">
        <v>41751</v>
      </c>
      <c r="O61" s="466">
        <v>37244</v>
      </c>
      <c r="P61" s="466">
        <v>37327</v>
      </c>
      <c r="Q61" s="424">
        <v>43517</v>
      </c>
      <c r="R61" s="466">
        <v>54200</v>
      </c>
      <c r="S61" s="466">
        <v>52012</v>
      </c>
      <c r="T61" s="466">
        <v>38601</v>
      </c>
      <c r="U61" s="424">
        <v>39500</v>
      </c>
      <c r="V61" s="466">
        <v>46835</v>
      </c>
      <c r="W61" s="466">
        <v>42047</v>
      </c>
      <c r="X61" s="466">
        <v>35213</v>
      </c>
      <c r="Y61" s="424">
        <v>35168</v>
      </c>
      <c r="Z61" s="466">
        <v>28967</v>
      </c>
      <c r="AA61" s="466">
        <v>34689</v>
      </c>
      <c r="AB61" s="466">
        <v>35911</v>
      </c>
      <c r="AC61" s="424">
        <v>44683</v>
      </c>
      <c r="AD61" s="174">
        <v>43703</v>
      </c>
      <c r="AE61" s="212">
        <v>48132</v>
      </c>
      <c r="AF61" s="212">
        <v>44039</v>
      </c>
      <c r="AG61" s="216">
        <v>57148</v>
      </c>
      <c r="AH61" s="161">
        <v>55349</v>
      </c>
      <c r="AI61" s="216">
        <v>50178</v>
      </c>
      <c r="AJ61" s="216">
        <v>41346</v>
      </c>
      <c r="AK61" s="216">
        <v>55217</v>
      </c>
      <c r="AL61" s="89"/>
      <c r="AM61" s="380">
        <v>81513</v>
      </c>
      <c r="AN61" s="380">
        <v>99503</v>
      </c>
      <c r="AO61" s="31">
        <v>-17990</v>
      </c>
      <c r="AP61" s="45">
        <v>-0.18079856888737023</v>
      </c>
      <c r="AQ61" s="83"/>
      <c r="AR61" s="179">
        <v>130936</v>
      </c>
      <c r="AS61" s="179">
        <v>159839</v>
      </c>
      <c r="AT61" s="179">
        <v>184313</v>
      </c>
      <c r="AU61" s="179">
        <v>159263</v>
      </c>
      <c r="AV61" s="179">
        <v>144250</v>
      </c>
      <c r="AW61" s="174">
        <v>193022</v>
      </c>
      <c r="AX61" s="161">
        <v>202090</v>
      </c>
      <c r="AY61" s="161">
        <v>163976</v>
      </c>
      <c r="AZ61" s="161">
        <v>127504</v>
      </c>
      <c r="BA61" s="161">
        <v>118638</v>
      </c>
      <c r="BB61" s="164"/>
      <c r="BD61" s="3"/>
      <c r="BG61" s="3"/>
    </row>
    <row r="62" spans="1:59" ht="24">
      <c r="A62" s="83"/>
      <c r="B62" s="546" t="s">
        <v>216</v>
      </c>
      <c r="C62" s="84">
        <v>-4162</v>
      </c>
      <c r="D62" s="45">
        <v>-1.064177959601125</v>
      </c>
      <c r="E62" s="606"/>
      <c r="F62" s="466"/>
      <c r="G62" s="488">
        <v>-251</v>
      </c>
      <c r="H62" s="488">
        <v>-1964</v>
      </c>
      <c r="I62" s="855">
        <v>-324</v>
      </c>
      <c r="J62" s="488">
        <v>790</v>
      </c>
      <c r="K62" s="488">
        <v>3911</v>
      </c>
      <c r="L62" s="488">
        <v>2002</v>
      </c>
      <c r="M62" s="855">
        <v>2216</v>
      </c>
      <c r="N62" s="488">
        <v>10786</v>
      </c>
      <c r="O62" s="488">
        <v>7327</v>
      </c>
      <c r="P62" s="488">
        <v>10085</v>
      </c>
      <c r="Q62" s="855">
        <v>11266</v>
      </c>
      <c r="R62" s="488">
        <v>18504</v>
      </c>
      <c r="S62" s="488">
        <v>16587</v>
      </c>
      <c r="T62" s="488">
        <v>5938</v>
      </c>
      <c r="U62" s="855">
        <v>7707</v>
      </c>
      <c r="V62" s="488">
        <v>8155</v>
      </c>
      <c r="W62" s="488">
        <v>9686</v>
      </c>
      <c r="X62" s="488">
        <v>4925</v>
      </c>
      <c r="Y62" s="855">
        <v>5017</v>
      </c>
      <c r="Z62" s="488">
        <v>8288</v>
      </c>
      <c r="AA62" s="488">
        <v>-1157</v>
      </c>
      <c r="AB62" s="488">
        <v>7933</v>
      </c>
      <c r="AC62" s="855">
        <v>13170</v>
      </c>
      <c r="AD62" s="1355">
        <v>10760</v>
      </c>
      <c r="AE62" s="488">
        <v>13034</v>
      </c>
      <c r="AF62" s="488">
        <v>13376</v>
      </c>
      <c r="AG62" s="762">
        <v>18935</v>
      </c>
      <c r="AH62" s="763">
        <v>20527</v>
      </c>
      <c r="AI62" s="762">
        <v>18653</v>
      </c>
      <c r="AJ62" s="762">
        <v>14280</v>
      </c>
      <c r="AK62" s="762">
        <v>17069</v>
      </c>
      <c r="AL62" s="662"/>
      <c r="AM62" s="610">
        <v>-2539</v>
      </c>
      <c r="AN62" s="610">
        <v>8129</v>
      </c>
      <c r="AO62" s="31">
        <v>-10668</v>
      </c>
      <c r="AP62" s="45">
        <v>-1.3123385410259565</v>
      </c>
      <c r="AQ62" s="83"/>
      <c r="AR62" s="662">
        <v>8919</v>
      </c>
      <c r="AS62" s="662">
        <v>39464</v>
      </c>
      <c r="AT62" s="662">
        <v>48736</v>
      </c>
      <c r="AU62" s="662">
        <v>27783</v>
      </c>
      <c r="AV62" s="179">
        <v>28234</v>
      </c>
      <c r="AW62" s="174">
        <v>56105</v>
      </c>
      <c r="AX62" s="161">
        <v>70529</v>
      </c>
      <c r="AY62" s="161">
        <v>61218</v>
      </c>
      <c r="AZ62" s="161">
        <v>50672</v>
      </c>
      <c r="BA62" s="161">
        <v>57345</v>
      </c>
      <c r="BB62" s="164"/>
      <c r="BD62" s="3"/>
      <c r="BG62" s="3"/>
    </row>
    <row r="63" spans="1:59" ht="12.75">
      <c r="A63" s="83"/>
      <c r="B63" s="546" t="s">
        <v>82</v>
      </c>
      <c r="C63" s="154">
        <v>-63</v>
      </c>
      <c r="D63" s="552">
        <v>-0.013710554951033732</v>
      </c>
      <c r="E63" s="606"/>
      <c r="F63" s="474"/>
      <c r="G63" s="1339">
        <v>-4658</v>
      </c>
      <c r="H63" s="1339">
        <v>-5146</v>
      </c>
      <c r="I63" s="1327">
        <v>-5132</v>
      </c>
      <c r="J63" s="1339">
        <v>-7552</v>
      </c>
      <c r="K63" s="1339">
        <v>-4595</v>
      </c>
      <c r="L63" s="1339">
        <v>-7220</v>
      </c>
      <c r="M63" s="1327">
        <v>-7209</v>
      </c>
      <c r="N63" s="1339">
        <v>199</v>
      </c>
      <c r="O63" s="1339">
        <v>-949</v>
      </c>
      <c r="P63" s="1339">
        <v>1935</v>
      </c>
      <c r="Q63" s="1327">
        <v>2542</v>
      </c>
      <c r="R63" s="1339">
        <v>9122</v>
      </c>
      <c r="S63" s="1339">
        <v>8143</v>
      </c>
      <c r="T63" s="1339"/>
      <c r="U63" s="1327"/>
      <c r="V63" s="1339"/>
      <c r="W63" s="1339"/>
      <c r="X63" s="1339"/>
      <c r="Y63" s="1327"/>
      <c r="Z63" s="1339"/>
      <c r="AA63" s="1339"/>
      <c r="AB63" s="1339"/>
      <c r="AC63" s="1327"/>
      <c r="AD63" s="1356"/>
      <c r="AE63" s="1339"/>
      <c r="AF63" s="1339"/>
      <c r="AG63" s="860"/>
      <c r="AH63" s="1342"/>
      <c r="AI63" s="860"/>
      <c r="AJ63" s="860"/>
      <c r="AK63" s="860"/>
      <c r="AL63" s="662"/>
      <c r="AM63" s="1339">
        <v>-14936</v>
      </c>
      <c r="AN63" s="1339">
        <v>-19024</v>
      </c>
      <c r="AO63" s="474">
        <v>4088</v>
      </c>
      <c r="AP63" s="552">
        <v>0.21488645920941968</v>
      </c>
      <c r="AQ63" s="83"/>
      <c r="AR63" s="1326">
        <v>-26576</v>
      </c>
      <c r="AS63" s="1326">
        <v>3727</v>
      </c>
      <c r="AT63" s="1326">
        <v>12132</v>
      </c>
      <c r="AU63" s="1326">
        <v>-7999</v>
      </c>
      <c r="AV63" s="198">
        <v>28234</v>
      </c>
      <c r="AW63" s="211">
        <v>56105</v>
      </c>
      <c r="AX63" s="206"/>
      <c r="AY63" s="206"/>
      <c r="AZ63" s="206"/>
      <c r="BA63" s="206"/>
      <c r="BB63" s="164"/>
      <c r="BD63" s="3"/>
      <c r="BG63" s="3"/>
    </row>
    <row r="64" spans="1:59" ht="12.75" customHeight="1">
      <c r="A64" s="83"/>
      <c r="B64" s="148"/>
      <c r="C64" s="153"/>
      <c r="D64" s="11"/>
      <c r="E64" s="11"/>
      <c r="F64" s="11"/>
      <c r="G64" s="11"/>
      <c r="H64" s="11"/>
      <c r="I64" s="148"/>
      <c r="J64" s="11"/>
      <c r="K64" s="11"/>
      <c r="L64" s="11"/>
      <c r="M64" s="148"/>
      <c r="N64" s="488"/>
      <c r="O64" s="11"/>
      <c r="P64" s="11"/>
      <c r="Q64" s="148"/>
      <c r="R64" s="11"/>
      <c r="S64" s="11"/>
      <c r="T64" s="11"/>
      <c r="U64" s="148"/>
      <c r="V64" s="11"/>
      <c r="W64" s="11"/>
      <c r="X64" s="11"/>
      <c r="Y64" s="148"/>
      <c r="Z64" s="11"/>
      <c r="AA64" s="11"/>
      <c r="AB64" s="11"/>
      <c r="AC64" s="148"/>
      <c r="AD64" s="83"/>
      <c r="AE64" s="83"/>
      <c r="AF64" s="83"/>
      <c r="AG64" s="83"/>
      <c r="AH64" s="83"/>
      <c r="AI64" s="83"/>
      <c r="AJ64" s="83"/>
      <c r="AK64" s="83"/>
      <c r="AL64" s="148"/>
      <c r="AM64" s="148"/>
      <c r="AN64" s="148"/>
      <c r="AO64" s="153"/>
      <c r="AP64" s="11"/>
      <c r="AQ64" s="148"/>
      <c r="AR64" s="148"/>
      <c r="AS64" s="148"/>
      <c r="AT64" s="148"/>
      <c r="AU64" s="148"/>
      <c r="AV64" s="148"/>
      <c r="AW64" s="83"/>
      <c r="AX64" s="83"/>
      <c r="AY64" s="31"/>
      <c r="AZ64" s="31"/>
      <c r="BA64" s="31"/>
      <c r="BB64" s="148"/>
      <c r="BD64" s="3"/>
      <c r="BG64" s="3"/>
    </row>
    <row r="65" spans="1:59" ht="12.75" customHeight="1">
      <c r="A65" s="83"/>
      <c r="B65" s="145" t="s">
        <v>85</v>
      </c>
      <c r="C65" s="228">
        <v>12.038852717957315</v>
      </c>
      <c r="D65" s="11"/>
      <c r="E65" s="11"/>
      <c r="F65" s="11"/>
      <c r="G65" s="11">
        <v>0.39835491900862224</v>
      </c>
      <c r="H65" s="11">
        <v>0.45582271740466146</v>
      </c>
      <c r="I65" s="11">
        <v>0.38398778034423664</v>
      </c>
      <c r="J65" s="11">
        <v>0.32892654315240666</v>
      </c>
      <c r="K65" s="11">
        <v>0.2779663918290491</v>
      </c>
      <c r="L65" s="11">
        <v>0.2962807840509298</v>
      </c>
      <c r="M65" s="11">
        <v>0.32134794788805177</v>
      </c>
      <c r="N65" s="11">
        <v>0.2159049812513086</v>
      </c>
      <c r="O65" s="11">
        <v>0.25269794260842254</v>
      </c>
      <c r="P65" s="11">
        <v>0.21564160971905846</v>
      </c>
      <c r="Q65" s="11">
        <v>0.20723582133143492</v>
      </c>
      <c r="R65" s="11">
        <v>0.18037522007042253</v>
      </c>
      <c r="S65" s="11">
        <v>0.1823641744048747</v>
      </c>
      <c r="T65" s="11">
        <v>0.27443364242573925</v>
      </c>
      <c r="U65" s="11">
        <v>0.2613383608363167</v>
      </c>
      <c r="V65" s="11">
        <v>0.2738497908710675</v>
      </c>
      <c r="W65" s="11">
        <v>0.26397077300755806</v>
      </c>
      <c r="X65" s="11">
        <v>0.28613782450545616</v>
      </c>
      <c r="Y65" s="11">
        <v>0.3055617767823815</v>
      </c>
      <c r="Z65" s="11">
        <v>0.30438867266138775</v>
      </c>
      <c r="AA65" s="11">
        <v>0.5200107360133603</v>
      </c>
      <c r="AB65" s="11">
        <v>0.28095064318949003</v>
      </c>
      <c r="AC65" s="11">
        <v>0.2411629474703127</v>
      </c>
      <c r="AD65" s="35">
        <v>0.27273561867689994</v>
      </c>
      <c r="AE65" s="35">
        <v>0.268</v>
      </c>
      <c r="AF65" s="35">
        <v>0.264</v>
      </c>
      <c r="AG65" s="35">
        <v>0.20299999999999996</v>
      </c>
      <c r="AH65" s="35">
        <v>0.19</v>
      </c>
      <c r="AI65" s="35">
        <v>0.22199999999999998</v>
      </c>
      <c r="AJ65" s="35">
        <v>0.244</v>
      </c>
      <c r="AK65" s="35">
        <v>0.255</v>
      </c>
      <c r="AL65" s="148"/>
      <c r="AM65" s="11">
        <v>0.41123660951705626</v>
      </c>
      <c r="AN65" s="11">
        <v>0.2988795153857589</v>
      </c>
      <c r="AO65" s="228">
        <v>11.235709413129735</v>
      </c>
      <c r="AP65" s="11"/>
      <c r="AQ65" s="148"/>
      <c r="AR65" s="11">
        <v>0.3058024382396053</v>
      </c>
      <c r="AS65" s="11">
        <v>0.22168758122055363</v>
      </c>
      <c r="AT65" s="11">
        <v>0.21533668885084253</v>
      </c>
      <c r="AU65" s="11">
        <v>0.28056734706970476</v>
      </c>
      <c r="AV65" s="11">
        <v>0.3191426451149092</v>
      </c>
      <c r="AW65" s="35">
        <v>0.24833920048810446</v>
      </c>
      <c r="AX65" s="35">
        <v>0.22599999999999998</v>
      </c>
      <c r="AY65" s="358">
        <v>0.20299999999999996</v>
      </c>
      <c r="AZ65" s="358">
        <v>0.18</v>
      </c>
      <c r="BA65" s="358">
        <v>0.14600000000000002</v>
      </c>
      <c r="BB65" s="148"/>
      <c r="BD65" s="3"/>
      <c r="BG65" s="3"/>
    </row>
    <row r="66" spans="1:59" ht="12.75" customHeight="1">
      <c r="A66" s="83"/>
      <c r="B66" s="145" t="s">
        <v>86</v>
      </c>
      <c r="C66" s="228">
        <v>12.063542947133188</v>
      </c>
      <c r="D66" s="11"/>
      <c r="E66" s="11"/>
      <c r="F66" s="11"/>
      <c r="G66" s="11">
        <v>1.0090551607200837</v>
      </c>
      <c r="H66" s="11">
        <v>1.0804489411379183</v>
      </c>
      <c r="I66" s="11">
        <v>1.01207063557112</v>
      </c>
      <c r="J66" s="11">
        <v>0.9754833504018868</v>
      </c>
      <c r="K66" s="11">
        <v>0.8884197312487518</v>
      </c>
      <c r="L66" s="11">
        <v>0.9441000725973083</v>
      </c>
      <c r="M66" s="11">
        <v>0.9397285609377974</v>
      </c>
      <c r="N66" s="11">
        <v>0.7946970706359328</v>
      </c>
      <c r="O66" s="11">
        <v>0.8356105988198604</v>
      </c>
      <c r="P66" s="11">
        <v>0.787290137517928</v>
      </c>
      <c r="Q66" s="11">
        <v>0.7943522625632039</v>
      </c>
      <c r="R66" s="11">
        <v>0.7454885563380281</v>
      </c>
      <c r="S66" s="11">
        <v>0.7582034723538243</v>
      </c>
      <c r="T66" s="11">
        <v>0.8666786411908665</v>
      </c>
      <c r="U66" s="11">
        <v>0.8367403139364925</v>
      </c>
      <c r="V66" s="11">
        <v>0.8517003091471177</v>
      </c>
      <c r="W66" s="11">
        <v>0.8127694121740475</v>
      </c>
      <c r="X66" s="11">
        <v>0.8772983207932632</v>
      </c>
      <c r="Y66" s="11">
        <v>0.8751524200572353</v>
      </c>
      <c r="Z66" s="11">
        <v>0.7775332170178499</v>
      </c>
      <c r="AA66" s="11">
        <v>1.0345043540498629</v>
      </c>
      <c r="AB66" s="11">
        <v>0.8190630416932762</v>
      </c>
      <c r="AC66" s="11">
        <v>0.7723540697975905</v>
      </c>
      <c r="AD66" s="35">
        <v>0.8024346804252428</v>
      </c>
      <c r="AE66" s="35">
        <v>0.787</v>
      </c>
      <c r="AF66" s="35">
        <v>0.767</v>
      </c>
      <c r="AG66" s="35">
        <v>0.751</v>
      </c>
      <c r="AH66" s="35">
        <v>0.729</v>
      </c>
      <c r="AI66" s="35">
        <v>0.729</v>
      </c>
      <c r="AJ66" s="35">
        <v>0.743</v>
      </c>
      <c r="AK66" s="35">
        <v>0.764</v>
      </c>
      <c r="AL66" s="148"/>
      <c r="AM66" s="11">
        <v>1.0321498214602274</v>
      </c>
      <c r="AN66" s="11">
        <v>0.924474134086517</v>
      </c>
      <c r="AO66" s="228">
        <v>10.767568737371036</v>
      </c>
      <c r="AP66" s="11"/>
      <c r="AQ66" s="148"/>
      <c r="AR66" s="11">
        <v>0.9362268063351328</v>
      </c>
      <c r="AS66" s="11">
        <v>0.8019899349232074</v>
      </c>
      <c r="AT66" s="11">
        <v>0.7908765967672035</v>
      </c>
      <c r="AU66" s="11">
        <v>0.8514643456689798</v>
      </c>
      <c r="AV66" s="11">
        <v>0.8363094547900095</v>
      </c>
      <c r="AW66" s="35">
        <v>0.7747935791784913</v>
      </c>
      <c r="AX66" s="35">
        <v>0.741</v>
      </c>
      <c r="AY66" s="358">
        <v>0.728</v>
      </c>
      <c r="AZ66" s="358">
        <v>0.716</v>
      </c>
      <c r="BA66" s="358">
        <v>0.674</v>
      </c>
      <c r="BB66" s="148"/>
      <c r="BD66" s="3"/>
      <c r="BG66" s="3"/>
    </row>
    <row r="67" spans="1:56" ht="12.75" customHeight="1">
      <c r="A67" s="83"/>
      <c r="B67" s="145" t="s">
        <v>215</v>
      </c>
      <c r="C67" s="228">
        <v>-12.063542947133188</v>
      </c>
      <c r="D67" s="11"/>
      <c r="E67" s="11"/>
      <c r="F67" s="11"/>
      <c r="G67" s="11">
        <v>-0.009055160720083697</v>
      </c>
      <c r="H67" s="11">
        <v>-0.08044894113791833</v>
      </c>
      <c r="I67" s="11">
        <v>-0.012070635571119887</v>
      </c>
      <c r="J67" s="11">
        <v>0.024516649598113147</v>
      </c>
      <c r="K67" s="11">
        <v>0.11158026875124818</v>
      </c>
      <c r="L67" s="11">
        <v>0.05589992740269169</v>
      </c>
      <c r="M67" s="11">
        <v>0.06027143906220252</v>
      </c>
      <c r="N67" s="11">
        <v>0.20530292936406722</v>
      </c>
      <c r="O67" s="11">
        <v>0.16438940118013956</v>
      </c>
      <c r="P67" s="11">
        <v>0.21270986248207205</v>
      </c>
      <c r="Q67" s="11">
        <v>0.2056477374367961</v>
      </c>
      <c r="R67" s="11">
        <v>0.2545114436619718</v>
      </c>
      <c r="S67" s="11">
        <v>0.2417965276461756</v>
      </c>
      <c r="T67" s="11">
        <v>0.13332135880913357</v>
      </c>
      <c r="U67" s="11">
        <v>0.16325968606350752</v>
      </c>
      <c r="V67" s="11">
        <v>0.14829969085288233</v>
      </c>
      <c r="W67" s="11">
        <v>0.18723058782595248</v>
      </c>
      <c r="X67" s="11">
        <v>0.12270167920673676</v>
      </c>
      <c r="Y67" s="11">
        <v>0.12484757994276471</v>
      </c>
      <c r="Z67" s="11">
        <v>0.22246678298215006</v>
      </c>
      <c r="AA67" s="11">
        <v>-0.034504354049862816</v>
      </c>
      <c r="AB67" s="11">
        <v>0.18093695830672385</v>
      </c>
      <c r="AC67" s="11">
        <v>0.22764593020240956</v>
      </c>
      <c r="AD67" s="35">
        <v>0.19756531957475718</v>
      </c>
      <c r="AE67" s="35">
        <v>0.21299999999999997</v>
      </c>
      <c r="AF67" s="35">
        <v>0.23299999999999998</v>
      </c>
      <c r="AG67" s="35">
        <v>0.249</v>
      </c>
      <c r="AH67" s="35">
        <v>0.271</v>
      </c>
      <c r="AI67" s="35">
        <v>0.271</v>
      </c>
      <c r="AJ67" s="35">
        <v>0.257</v>
      </c>
      <c r="AK67" s="35">
        <v>0.236</v>
      </c>
      <c r="AL67" s="148"/>
      <c r="AM67" s="11">
        <v>-0.032149821460227414</v>
      </c>
      <c r="AN67" s="11">
        <v>0.07552586591348298</v>
      </c>
      <c r="AO67" s="228">
        <v>-10.76756873737104</v>
      </c>
      <c r="AP67" s="11"/>
      <c r="AQ67" s="148"/>
      <c r="AR67" s="11">
        <v>0.06377319366486718</v>
      </c>
      <c r="AS67" s="11">
        <v>0.1980100650767926</v>
      </c>
      <c r="AT67" s="11">
        <v>0.20912340323279655</v>
      </c>
      <c r="AU67" s="11">
        <v>0.14853565433102017</v>
      </c>
      <c r="AV67" s="11">
        <v>0.1636905452099905</v>
      </c>
      <c r="AW67" s="35">
        <v>0.2252064208215087</v>
      </c>
      <c r="AX67" s="35">
        <v>0.259</v>
      </c>
      <c r="AY67" s="358">
        <v>0.272</v>
      </c>
      <c r="AZ67" s="358">
        <v>0.28400000000000003</v>
      </c>
      <c r="BA67" s="358">
        <v>0.32599999999999996</v>
      </c>
      <c r="BB67" s="148"/>
      <c r="BD67" s="3"/>
    </row>
    <row r="68" spans="1:56" ht="12.75" customHeight="1">
      <c r="A68" s="83"/>
      <c r="B68" s="145"/>
      <c r="C68" s="228"/>
      <c r="D68" s="11"/>
      <c r="E68" s="11"/>
      <c r="F68" s="11"/>
      <c r="G68" s="11"/>
      <c r="H68" s="11"/>
      <c r="I68" s="11"/>
      <c r="J68" s="11"/>
      <c r="K68" s="11"/>
      <c r="L68" s="11"/>
      <c r="M68" s="11"/>
      <c r="P68" s="11"/>
      <c r="Q68" s="11"/>
      <c r="R68" s="11"/>
      <c r="S68" s="11"/>
      <c r="T68" s="11"/>
      <c r="U68" s="11"/>
      <c r="V68" s="11"/>
      <c r="W68" s="11"/>
      <c r="X68" s="11"/>
      <c r="Y68" s="11"/>
      <c r="Z68" s="11"/>
      <c r="AA68" s="11"/>
      <c r="AB68" s="11"/>
      <c r="AC68" s="11"/>
      <c r="AD68" s="35"/>
      <c r="AE68" s="35"/>
      <c r="AF68" s="35"/>
      <c r="AG68" s="35"/>
      <c r="AH68" s="35"/>
      <c r="AI68" s="35"/>
      <c r="AJ68" s="35"/>
      <c r="AK68" s="35"/>
      <c r="AL68" s="148"/>
      <c r="AM68" s="148"/>
      <c r="AN68" s="148"/>
      <c r="AO68" s="228"/>
      <c r="AP68" s="11"/>
      <c r="AQ68" s="148"/>
      <c r="AR68" s="35"/>
      <c r="AS68" s="35"/>
      <c r="AT68" s="35"/>
      <c r="AU68" s="35"/>
      <c r="AV68" s="35"/>
      <c r="AW68" s="35"/>
      <c r="AX68" s="35"/>
      <c r="AY68" s="358"/>
      <c r="AZ68" s="358"/>
      <c r="BA68" s="358"/>
      <c r="BB68" s="148"/>
      <c r="BD68" s="3"/>
    </row>
    <row r="69" spans="1:56" ht="12.75" customHeight="1">
      <c r="A69" s="12" t="s">
        <v>227</v>
      </c>
      <c r="B69" s="145"/>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7"/>
      <c r="AH69" s="148"/>
      <c r="AI69" s="7"/>
      <c r="AJ69" s="7"/>
      <c r="AK69" s="148"/>
      <c r="AL69" s="148"/>
      <c r="AM69" s="148"/>
      <c r="AN69" s="148"/>
      <c r="AO69" s="148"/>
      <c r="AP69" s="148"/>
      <c r="AQ69" s="148"/>
      <c r="AR69" s="148"/>
      <c r="AS69" s="148"/>
      <c r="AT69" s="148"/>
      <c r="AU69" s="148"/>
      <c r="AV69" s="148"/>
      <c r="AW69" s="148"/>
      <c r="AX69" s="148"/>
      <c r="AY69" s="31"/>
      <c r="AZ69" s="358"/>
      <c r="BA69" s="358"/>
      <c r="BB69" s="148"/>
      <c r="BD69" s="3"/>
    </row>
    <row r="70" spans="3:56" ht="12.75" customHeight="1">
      <c r="C70" s="1437" t="s">
        <v>497</v>
      </c>
      <c r="D70" s="1438"/>
      <c r="E70" s="259"/>
      <c r="F70" s="477"/>
      <c r="G70" s="477"/>
      <c r="H70" s="477"/>
      <c r="I70" s="19"/>
      <c r="J70" s="477"/>
      <c r="K70" s="477"/>
      <c r="L70" s="477"/>
      <c r="M70" s="19"/>
      <c r="N70" s="17"/>
      <c r="O70" s="18"/>
      <c r="P70" s="477"/>
      <c r="Q70" s="19"/>
      <c r="R70" s="17"/>
      <c r="S70" s="18"/>
      <c r="T70" s="477"/>
      <c r="U70" s="19"/>
      <c r="W70" s="18"/>
      <c r="X70" s="2"/>
      <c r="Y70" s="19"/>
      <c r="Z70" s="18"/>
      <c r="AB70" s="477"/>
      <c r="AC70" s="19"/>
      <c r="AD70" s="18"/>
      <c r="AE70" s="18"/>
      <c r="AF70" s="18"/>
      <c r="AG70" s="18"/>
      <c r="AH70" s="22"/>
      <c r="AI70" s="19"/>
      <c r="AJ70" s="19"/>
      <c r="AK70" s="19"/>
      <c r="AL70" s="24"/>
      <c r="AM70" s="725" t="s">
        <v>406</v>
      </c>
      <c r="AN70" s="711"/>
      <c r="AO70" s="711" t="s">
        <v>480</v>
      </c>
      <c r="AP70" s="712"/>
      <c r="AQ70" s="148"/>
      <c r="AR70" s="88"/>
      <c r="AS70" s="88"/>
      <c r="AT70" s="88"/>
      <c r="AU70" s="88"/>
      <c r="AV70" s="88"/>
      <c r="AW70" s="196"/>
      <c r="AX70" s="194"/>
      <c r="AY70" s="88"/>
      <c r="AZ70" s="358"/>
      <c r="BA70" s="358"/>
      <c r="BB70" s="164"/>
      <c r="BD70" s="3"/>
    </row>
    <row r="71" spans="3:56" ht="12.75" customHeight="1">
      <c r="C71" s="1439" t="s">
        <v>41</v>
      </c>
      <c r="D71" s="1459"/>
      <c r="E71" s="730"/>
      <c r="F71" s="21" t="s">
        <v>431</v>
      </c>
      <c r="G71" s="21" t="s">
        <v>430</v>
      </c>
      <c r="H71" s="21" t="s">
        <v>429</v>
      </c>
      <c r="I71" s="14" t="s">
        <v>427</v>
      </c>
      <c r="J71" s="21" t="s">
        <v>362</v>
      </c>
      <c r="K71" s="21" t="s">
        <v>363</v>
      </c>
      <c r="L71" s="21" t="s">
        <v>364</v>
      </c>
      <c r="M71" s="14" t="s">
        <v>365</v>
      </c>
      <c r="N71" s="20" t="s">
        <v>277</v>
      </c>
      <c r="O71" s="21" t="s">
        <v>278</v>
      </c>
      <c r="P71" s="21" t="s">
        <v>279</v>
      </c>
      <c r="Q71" s="14" t="s">
        <v>276</v>
      </c>
      <c r="R71" s="20" t="s">
        <v>222</v>
      </c>
      <c r="S71" s="21" t="s">
        <v>223</v>
      </c>
      <c r="T71" s="21" t="s">
        <v>224</v>
      </c>
      <c r="U71" s="14" t="s">
        <v>225</v>
      </c>
      <c r="V71" s="21" t="s">
        <v>141</v>
      </c>
      <c r="W71" s="21" t="s">
        <v>140</v>
      </c>
      <c r="X71" s="21" t="s">
        <v>139</v>
      </c>
      <c r="Y71" s="14" t="s">
        <v>138</v>
      </c>
      <c r="Z71" s="21" t="s">
        <v>91</v>
      </c>
      <c r="AA71" s="21" t="s">
        <v>92</v>
      </c>
      <c r="AB71" s="21" t="s">
        <v>93</v>
      </c>
      <c r="AC71" s="14" t="s">
        <v>32</v>
      </c>
      <c r="AD71" s="21" t="s">
        <v>33</v>
      </c>
      <c r="AE71" s="21" t="s">
        <v>34</v>
      </c>
      <c r="AF71" s="21" t="s">
        <v>35</v>
      </c>
      <c r="AG71" s="21" t="s">
        <v>36</v>
      </c>
      <c r="AH71" s="23" t="s">
        <v>37</v>
      </c>
      <c r="AI71" s="14" t="s">
        <v>38</v>
      </c>
      <c r="AJ71" s="14" t="s">
        <v>39</v>
      </c>
      <c r="AK71" s="14" t="s">
        <v>40</v>
      </c>
      <c r="AL71" s="259"/>
      <c r="AM71" s="21" t="s">
        <v>430</v>
      </c>
      <c r="AN71" s="21" t="s">
        <v>363</v>
      </c>
      <c r="AO71" s="1454" t="s">
        <v>41</v>
      </c>
      <c r="AP71" s="1440"/>
      <c r="AQ71" s="148"/>
      <c r="AR71" s="20" t="s">
        <v>367</v>
      </c>
      <c r="AS71" s="20" t="s">
        <v>285</v>
      </c>
      <c r="AT71" s="20" t="s">
        <v>143</v>
      </c>
      <c r="AU71" s="20" t="s">
        <v>142</v>
      </c>
      <c r="AV71" s="23" t="s">
        <v>45</v>
      </c>
      <c r="AW71" s="20" t="s">
        <v>42</v>
      </c>
      <c r="AX71" s="23" t="s">
        <v>43</v>
      </c>
      <c r="AY71" s="23" t="s">
        <v>165</v>
      </c>
      <c r="AZ71" s="358"/>
      <c r="BA71" s="358"/>
      <c r="BB71" s="164"/>
      <c r="BD71" s="3"/>
    </row>
    <row r="72" spans="1:56" ht="12.75" customHeight="1">
      <c r="A72" s="83"/>
      <c r="B72" s="7" t="s">
        <v>407</v>
      </c>
      <c r="C72" s="84">
        <v>-3184</v>
      </c>
      <c r="D72" s="45">
        <v>-0.13017170891251023</v>
      </c>
      <c r="E72" s="89"/>
      <c r="F72" s="466"/>
      <c r="G72" s="466">
        <v>21276</v>
      </c>
      <c r="H72" s="488">
        <v>19001</v>
      </c>
      <c r="I72" s="762">
        <v>21312</v>
      </c>
      <c r="J72" s="488">
        <v>22467</v>
      </c>
      <c r="K72" s="488">
        <v>24460</v>
      </c>
      <c r="L72" s="488">
        <v>26063</v>
      </c>
      <c r="M72" s="762">
        <v>27328</v>
      </c>
      <c r="N72" s="488">
        <v>36033</v>
      </c>
      <c r="O72" s="488">
        <v>31389</v>
      </c>
      <c r="P72" s="488">
        <v>34266</v>
      </c>
      <c r="Q72" s="443">
        <v>38087</v>
      </c>
      <c r="R72" s="466">
        <v>46851</v>
      </c>
      <c r="S72" s="466">
        <v>45775</v>
      </c>
      <c r="T72" s="466">
        <v>32880</v>
      </c>
      <c r="U72" s="443">
        <v>34953</v>
      </c>
      <c r="V72" s="466">
        <v>38197</v>
      </c>
      <c r="W72" s="466">
        <v>34040</v>
      </c>
      <c r="X72" s="466">
        <v>30370</v>
      </c>
      <c r="Y72" s="443">
        <v>29756</v>
      </c>
      <c r="Z72" s="231">
        <v>24593</v>
      </c>
      <c r="AA72" s="496">
        <v>27916</v>
      </c>
      <c r="AB72" s="612">
        <v>32886</v>
      </c>
      <c r="AC72" s="443">
        <v>42504</v>
      </c>
      <c r="AD72" s="424">
        <v>29584</v>
      </c>
      <c r="AE72" s="148"/>
      <c r="AF72" s="148"/>
      <c r="AG72" s="7"/>
      <c r="AH72" s="148"/>
      <c r="AI72" s="7"/>
      <c r="AJ72" s="7"/>
      <c r="AK72" s="148"/>
      <c r="AL72" s="89"/>
      <c r="AM72" s="610">
        <v>61589</v>
      </c>
      <c r="AN72" s="610">
        <v>77851</v>
      </c>
      <c r="AO72" s="488">
        <v>-16262</v>
      </c>
      <c r="AP72" s="45">
        <v>-0.20888620570063327</v>
      </c>
      <c r="AQ72" s="148"/>
      <c r="AR72" s="179">
        <v>100318</v>
      </c>
      <c r="AS72" s="179">
        <v>139775</v>
      </c>
      <c r="AT72" s="179">
        <v>160459</v>
      </c>
      <c r="AU72" s="179">
        <v>132363</v>
      </c>
      <c r="AV72" s="179">
        <v>127899</v>
      </c>
      <c r="AW72" s="224">
        <v>170684</v>
      </c>
      <c r="AX72" s="226">
        <v>177862</v>
      </c>
      <c r="AY72" s="360">
        <v>150224</v>
      </c>
      <c r="AZ72" s="358"/>
      <c r="BA72" s="358"/>
      <c r="BB72" s="164"/>
      <c r="BD72" s="3"/>
    </row>
    <row r="73" spans="1:56" ht="12.75" customHeight="1">
      <c r="A73" s="83"/>
      <c r="B73" s="7" t="s">
        <v>70</v>
      </c>
      <c r="C73" s="84">
        <v>-2365</v>
      </c>
      <c r="D73" s="45">
        <v>-0.37943205519011713</v>
      </c>
      <c r="E73" s="89"/>
      <c r="F73" s="466"/>
      <c r="G73" s="466">
        <v>3868</v>
      </c>
      <c r="H73" s="488">
        <v>3124</v>
      </c>
      <c r="I73" s="762">
        <v>3031</v>
      </c>
      <c r="J73" s="488">
        <v>5593</v>
      </c>
      <c r="K73" s="488">
        <v>6233</v>
      </c>
      <c r="L73" s="488">
        <v>6520</v>
      </c>
      <c r="M73" s="762">
        <v>5567</v>
      </c>
      <c r="N73" s="488">
        <v>10998</v>
      </c>
      <c r="O73" s="488">
        <v>8459</v>
      </c>
      <c r="P73" s="488">
        <v>8442</v>
      </c>
      <c r="Q73" s="443">
        <v>11661</v>
      </c>
      <c r="R73" s="466">
        <v>19176</v>
      </c>
      <c r="S73" s="466">
        <v>18914</v>
      </c>
      <c r="T73" s="466">
        <v>8124</v>
      </c>
      <c r="U73" s="443">
        <v>9445</v>
      </c>
      <c r="V73" s="466">
        <v>10808</v>
      </c>
      <c r="W73" s="466">
        <v>10384</v>
      </c>
      <c r="X73" s="466">
        <v>6254</v>
      </c>
      <c r="Y73" s="443">
        <v>5954</v>
      </c>
      <c r="Z73" s="231">
        <v>5426</v>
      </c>
      <c r="AA73" s="466">
        <v>1798</v>
      </c>
      <c r="AB73" s="443">
        <v>5110</v>
      </c>
      <c r="AC73" s="443">
        <v>8533</v>
      </c>
      <c r="AD73" s="424">
        <v>68274</v>
      </c>
      <c r="AE73" s="148"/>
      <c r="AF73" s="148"/>
      <c r="AG73" s="7"/>
      <c r="AH73" s="148"/>
      <c r="AI73" s="7"/>
      <c r="AJ73" s="7"/>
      <c r="AK73" s="148"/>
      <c r="AL73" s="89"/>
      <c r="AM73" s="610">
        <v>10023</v>
      </c>
      <c r="AN73" s="610">
        <v>18320</v>
      </c>
      <c r="AO73" s="610">
        <v>-8297</v>
      </c>
      <c r="AP73" s="45">
        <v>-0.45289301310043667</v>
      </c>
      <c r="AQ73" s="148"/>
      <c r="AR73" s="179">
        <v>23913</v>
      </c>
      <c r="AS73" s="179">
        <v>39560</v>
      </c>
      <c r="AT73" s="179">
        <v>55659</v>
      </c>
      <c r="AU73" s="179">
        <v>33400</v>
      </c>
      <c r="AV73" s="179">
        <v>20867</v>
      </c>
      <c r="AW73" s="174">
        <v>49804</v>
      </c>
      <c r="AX73" s="161">
        <v>62132</v>
      </c>
      <c r="AY73" s="43">
        <v>49772</v>
      </c>
      <c r="AZ73" s="358"/>
      <c r="BA73" s="358"/>
      <c r="BB73" s="164"/>
      <c r="BD73" s="3"/>
    </row>
    <row r="74" spans="1:56" ht="12.75" customHeight="1">
      <c r="A74" s="83"/>
      <c r="B74" s="7" t="s">
        <v>255</v>
      </c>
      <c r="C74" s="84">
        <v>204</v>
      </c>
      <c r="D74" s="554" t="s">
        <v>44</v>
      </c>
      <c r="E74" s="89"/>
      <c r="F74" s="466"/>
      <c r="G74" s="466">
        <v>211</v>
      </c>
      <c r="H74" s="488">
        <v>18</v>
      </c>
      <c r="I74" s="762">
        <v>0</v>
      </c>
      <c r="J74" s="488">
        <v>11</v>
      </c>
      <c r="K74" s="488">
        <v>7</v>
      </c>
      <c r="L74" s="488">
        <v>12</v>
      </c>
      <c r="M74" s="762">
        <v>438</v>
      </c>
      <c r="N74" s="610">
        <v>36</v>
      </c>
      <c r="O74" s="610">
        <v>0</v>
      </c>
      <c r="P74" s="488">
        <v>3</v>
      </c>
      <c r="Q74" s="168">
        <v>0</v>
      </c>
      <c r="R74" s="213">
        <v>0</v>
      </c>
      <c r="S74" s="213">
        <v>50</v>
      </c>
      <c r="T74" s="466">
        <v>250</v>
      </c>
      <c r="U74" s="168">
        <v>70</v>
      </c>
      <c r="V74" s="213">
        <v>0</v>
      </c>
      <c r="W74" s="213">
        <v>0</v>
      </c>
      <c r="X74" s="213">
        <v>0</v>
      </c>
      <c r="Y74" s="168">
        <v>0</v>
      </c>
      <c r="Z74" s="213">
        <v>0</v>
      </c>
      <c r="AA74" s="213">
        <v>0</v>
      </c>
      <c r="AB74" s="168">
        <v>0</v>
      </c>
      <c r="AC74" s="168">
        <v>0</v>
      </c>
      <c r="AD74" s="213">
        <v>0</v>
      </c>
      <c r="AE74" s="213"/>
      <c r="AF74" s="213"/>
      <c r="AG74" s="213"/>
      <c r="AH74" s="213"/>
      <c r="AI74" s="213"/>
      <c r="AJ74" s="213"/>
      <c r="AK74" s="213"/>
      <c r="AL74" s="177"/>
      <c r="AM74" s="610">
        <v>229</v>
      </c>
      <c r="AN74" s="610">
        <v>457</v>
      </c>
      <c r="AO74" s="610">
        <v>-228</v>
      </c>
      <c r="AP74" s="554">
        <v>-0.4989059080962801</v>
      </c>
      <c r="AQ74" s="213"/>
      <c r="AR74" s="179">
        <v>468</v>
      </c>
      <c r="AS74" s="177">
        <v>39</v>
      </c>
      <c r="AT74" s="177">
        <v>370</v>
      </c>
      <c r="AU74" s="177">
        <v>0</v>
      </c>
      <c r="AV74" s="177">
        <v>0</v>
      </c>
      <c r="AW74" s="177">
        <v>0</v>
      </c>
      <c r="AX74" s="177">
        <v>0</v>
      </c>
      <c r="AY74" s="177">
        <v>0</v>
      </c>
      <c r="AZ74" s="358"/>
      <c r="BA74" s="358"/>
      <c r="BB74" s="164"/>
      <c r="BD74" s="3"/>
    </row>
    <row r="75" spans="1:56" ht="12.75" customHeight="1">
      <c r="A75" s="83"/>
      <c r="B75" s="7" t="s">
        <v>71</v>
      </c>
      <c r="C75" s="84">
        <v>148</v>
      </c>
      <c r="D75" s="554">
        <v>-2.4262295081967213</v>
      </c>
      <c r="E75" s="89"/>
      <c r="F75" s="466"/>
      <c r="G75" s="466">
        <v>87</v>
      </c>
      <c r="H75" s="488">
        <v>124</v>
      </c>
      <c r="I75" s="762">
        <v>-345</v>
      </c>
      <c r="J75" s="488">
        <v>-94</v>
      </c>
      <c r="K75" s="488">
        <v>-61</v>
      </c>
      <c r="L75" s="488">
        <v>81</v>
      </c>
      <c r="M75" s="762">
        <v>-199</v>
      </c>
      <c r="N75" s="488">
        <v>-17</v>
      </c>
      <c r="O75" s="488">
        <v>37</v>
      </c>
      <c r="P75" s="488">
        <v>47</v>
      </c>
      <c r="Q75" s="443">
        <v>353</v>
      </c>
      <c r="R75" s="466">
        <v>714</v>
      </c>
      <c r="S75" s="466">
        <v>526</v>
      </c>
      <c r="T75" s="466">
        <v>321</v>
      </c>
      <c r="U75" s="443">
        <v>104</v>
      </c>
      <c r="V75" s="466">
        <v>408</v>
      </c>
      <c r="W75" s="466">
        <v>4280</v>
      </c>
      <c r="X75" s="466">
        <v>850</v>
      </c>
      <c r="Y75" s="443">
        <v>1696</v>
      </c>
      <c r="Z75" s="231">
        <v>198</v>
      </c>
      <c r="AA75" s="466">
        <v>-649</v>
      </c>
      <c r="AB75" s="443">
        <v>-226</v>
      </c>
      <c r="AC75" s="443">
        <v>548</v>
      </c>
      <c r="AD75" s="424">
        <v>5363</v>
      </c>
      <c r="AE75" s="148"/>
      <c r="AF75" s="148"/>
      <c r="AG75" s="7"/>
      <c r="AH75" s="148"/>
      <c r="AI75" s="7"/>
      <c r="AJ75" s="7"/>
      <c r="AK75" s="148"/>
      <c r="AL75" s="89"/>
      <c r="AM75" s="610">
        <v>-134</v>
      </c>
      <c r="AN75" s="610">
        <v>-179</v>
      </c>
      <c r="AO75" s="610">
        <v>45</v>
      </c>
      <c r="AP75" s="554">
        <v>-0.25139664804469275</v>
      </c>
      <c r="AQ75" s="148"/>
      <c r="AR75" s="662">
        <v>-273</v>
      </c>
      <c r="AS75" s="179">
        <v>420</v>
      </c>
      <c r="AT75" s="179">
        <v>1665</v>
      </c>
      <c r="AU75" s="179">
        <v>7234</v>
      </c>
      <c r="AV75" s="662">
        <v>-129</v>
      </c>
      <c r="AW75" s="174">
        <v>210</v>
      </c>
      <c r="AX75" s="161">
        <v>4992</v>
      </c>
      <c r="AY75" s="43">
        <v>5670</v>
      </c>
      <c r="AZ75" s="358"/>
      <c r="BA75" s="358"/>
      <c r="BB75" s="164"/>
      <c r="BD75" s="3"/>
    </row>
    <row r="76" spans="1:56" ht="12.75" customHeight="1">
      <c r="A76" s="83"/>
      <c r="B76" s="7" t="s">
        <v>72</v>
      </c>
      <c r="C76" s="84">
        <v>-666</v>
      </c>
      <c r="D76" s="45">
        <v>-0.2657621707901037</v>
      </c>
      <c r="E76" s="89"/>
      <c r="F76" s="466"/>
      <c r="G76" s="466">
        <v>1840</v>
      </c>
      <c r="H76" s="488">
        <v>1802</v>
      </c>
      <c r="I76" s="762">
        <v>1939</v>
      </c>
      <c r="J76" s="488">
        <v>2260</v>
      </c>
      <c r="K76" s="488">
        <v>2506</v>
      </c>
      <c r="L76" s="488">
        <v>2765</v>
      </c>
      <c r="M76" s="762">
        <v>3176</v>
      </c>
      <c r="N76" s="488">
        <v>3237</v>
      </c>
      <c r="O76" s="488">
        <v>3426</v>
      </c>
      <c r="P76" s="488">
        <v>3371</v>
      </c>
      <c r="Q76" s="443">
        <v>3392</v>
      </c>
      <c r="R76" s="466">
        <v>3221</v>
      </c>
      <c r="S76" s="466">
        <v>2965</v>
      </c>
      <c r="T76" s="466">
        <v>2556</v>
      </c>
      <c r="U76" s="443">
        <v>2302</v>
      </c>
      <c r="V76" s="466">
        <v>2191</v>
      </c>
      <c r="W76" s="466">
        <v>2171</v>
      </c>
      <c r="X76" s="466">
        <v>2224</v>
      </c>
      <c r="Y76" s="443">
        <v>2325</v>
      </c>
      <c r="Z76" s="231">
        <v>6358</v>
      </c>
      <c r="AA76" s="466">
        <v>4010</v>
      </c>
      <c r="AB76" s="443">
        <v>5644</v>
      </c>
      <c r="AC76" s="443">
        <v>5891</v>
      </c>
      <c r="AD76" s="424">
        <v>1512</v>
      </c>
      <c r="AE76" s="148"/>
      <c r="AF76" s="148"/>
      <c r="AG76" s="7"/>
      <c r="AH76" s="148"/>
      <c r="AI76" s="7"/>
      <c r="AJ76" s="7"/>
      <c r="AK76" s="148"/>
      <c r="AL76" s="89"/>
      <c r="AM76" s="610">
        <v>5581</v>
      </c>
      <c r="AN76" s="610">
        <v>8447</v>
      </c>
      <c r="AO76" s="610">
        <v>-2866</v>
      </c>
      <c r="AP76" s="45">
        <v>-0.33929205635136733</v>
      </c>
      <c r="AQ76" s="148"/>
      <c r="AR76" s="179">
        <v>10707</v>
      </c>
      <c r="AS76" s="179">
        <v>13426</v>
      </c>
      <c r="AT76" s="179">
        <v>11044</v>
      </c>
      <c r="AU76" s="179">
        <v>8911</v>
      </c>
      <c r="AV76" s="179">
        <v>21903</v>
      </c>
      <c r="AW76" s="174">
        <v>27650</v>
      </c>
      <c r="AX76" s="161">
        <v>26877</v>
      </c>
      <c r="AY76" s="43">
        <v>18354</v>
      </c>
      <c r="AZ76" s="358"/>
      <c r="BA76" s="358"/>
      <c r="BB76" s="164"/>
      <c r="BD76" s="3"/>
    </row>
    <row r="77" spans="1:56" ht="12.75" customHeight="1">
      <c r="A77" s="193"/>
      <c r="B77" s="7" t="s">
        <v>73</v>
      </c>
      <c r="C77" s="84">
        <v>-1469</v>
      </c>
      <c r="D77" s="45">
        <v>-0.7707240293809025</v>
      </c>
      <c r="E77" s="608"/>
      <c r="F77" s="474"/>
      <c r="G77" s="474">
        <v>437</v>
      </c>
      <c r="H77" s="1339">
        <v>344</v>
      </c>
      <c r="I77" s="762">
        <v>905</v>
      </c>
      <c r="J77" s="488">
        <v>1986</v>
      </c>
      <c r="K77" s="488">
        <v>1906</v>
      </c>
      <c r="L77" s="488">
        <v>373</v>
      </c>
      <c r="M77" s="762">
        <v>457</v>
      </c>
      <c r="N77" s="488">
        <v>2250</v>
      </c>
      <c r="O77" s="488">
        <v>1260</v>
      </c>
      <c r="P77" s="1339">
        <v>1283</v>
      </c>
      <c r="Q77" s="427">
        <v>1290</v>
      </c>
      <c r="R77" s="466">
        <v>2742</v>
      </c>
      <c r="S77" s="466">
        <v>369</v>
      </c>
      <c r="T77" s="474">
        <v>408</v>
      </c>
      <c r="U77" s="427">
        <v>333</v>
      </c>
      <c r="V77" s="466">
        <v>3386</v>
      </c>
      <c r="W77" s="466">
        <v>858</v>
      </c>
      <c r="X77" s="474">
        <v>440</v>
      </c>
      <c r="Y77" s="427">
        <v>454</v>
      </c>
      <c r="Z77" s="231">
        <v>680</v>
      </c>
      <c r="AA77" s="474">
        <v>457</v>
      </c>
      <c r="AB77" s="427">
        <v>430</v>
      </c>
      <c r="AC77" s="427">
        <v>377</v>
      </c>
      <c r="AD77" s="426">
        <v>60</v>
      </c>
      <c r="AE77" s="15"/>
      <c r="AF77" s="15"/>
      <c r="AG77" s="15"/>
      <c r="AH77" s="15"/>
      <c r="AI77" s="15"/>
      <c r="AJ77" s="15"/>
      <c r="AK77" s="15"/>
      <c r="AL77" s="89"/>
      <c r="AM77" s="610">
        <v>1686</v>
      </c>
      <c r="AN77" s="610">
        <v>2736</v>
      </c>
      <c r="AO77" s="611">
        <v>-1050</v>
      </c>
      <c r="AP77" s="155">
        <v>-0.38377192982456143</v>
      </c>
      <c r="AQ77" s="83"/>
      <c r="AR77" s="179">
        <v>4722</v>
      </c>
      <c r="AS77" s="198">
        <v>6083</v>
      </c>
      <c r="AT77" s="198">
        <v>3852</v>
      </c>
      <c r="AU77" s="198">
        <v>5138</v>
      </c>
      <c r="AV77" s="198">
        <v>1944</v>
      </c>
      <c r="AW77" s="211">
        <v>779</v>
      </c>
      <c r="AX77" s="206">
        <v>756</v>
      </c>
      <c r="AY77" s="160">
        <v>1174</v>
      </c>
      <c r="AZ77" s="358"/>
      <c r="BA77" s="358"/>
      <c r="BB77" s="164"/>
      <c r="BD77" s="3"/>
    </row>
    <row r="78" spans="1:56" ht="12.75" customHeight="1">
      <c r="A78" s="193"/>
      <c r="B78" s="7"/>
      <c r="C78" s="578">
        <v>-7332</v>
      </c>
      <c r="D78" s="579">
        <v>-0.20918090782003368</v>
      </c>
      <c r="E78" s="24"/>
      <c r="F78" s="383">
        <v>0</v>
      </c>
      <c r="G78" s="383">
        <v>27719</v>
      </c>
      <c r="H78" s="583">
        <v>24413</v>
      </c>
      <c r="I78" s="1360">
        <v>26842</v>
      </c>
      <c r="J78" s="583">
        <v>32223</v>
      </c>
      <c r="K78" s="583">
        <v>35051</v>
      </c>
      <c r="L78" s="583">
        <v>35814</v>
      </c>
      <c r="M78" s="1360">
        <v>36767</v>
      </c>
      <c r="N78" s="583">
        <v>52537</v>
      </c>
      <c r="O78" s="583">
        <v>44571</v>
      </c>
      <c r="P78" s="583">
        <v>47412</v>
      </c>
      <c r="Q78" s="581">
        <v>54783</v>
      </c>
      <c r="R78" s="383">
        <v>72704</v>
      </c>
      <c r="S78" s="383">
        <v>68599</v>
      </c>
      <c r="T78" s="383">
        <v>44539</v>
      </c>
      <c r="U78" s="581">
        <v>47207</v>
      </c>
      <c r="V78" s="383">
        <v>54990</v>
      </c>
      <c r="W78" s="383">
        <v>51733</v>
      </c>
      <c r="X78" s="383">
        <v>40138</v>
      </c>
      <c r="Y78" s="581">
        <v>40185</v>
      </c>
      <c r="Z78" s="382">
        <v>37255</v>
      </c>
      <c r="AA78" s="383">
        <v>33532</v>
      </c>
      <c r="AB78" s="581">
        <v>43844</v>
      </c>
      <c r="AC78" s="581">
        <v>57853</v>
      </c>
      <c r="AD78" s="581">
        <v>104793</v>
      </c>
      <c r="AE78" s="2"/>
      <c r="AF78" s="2"/>
      <c r="AG78" s="2"/>
      <c r="AH78" s="2"/>
      <c r="AI78" s="2"/>
      <c r="AJ78" s="2"/>
      <c r="AK78" s="2"/>
      <c r="AL78" s="24"/>
      <c r="AM78" s="383">
        <v>78974</v>
      </c>
      <c r="AN78" s="383">
        <v>107632</v>
      </c>
      <c r="AO78" s="623">
        <v>-28658</v>
      </c>
      <c r="AP78" s="579">
        <v>-0.26625910509885536</v>
      </c>
      <c r="AR78" s="382">
        <v>139855</v>
      </c>
      <c r="AS78" s="382">
        <v>199303</v>
      </c>
      <c r="AT78" s="382">
        <v>233049</v>
      </c>
      <c r="AU78" s="382">
        <v>187046</v>
      </c>
      <c r="AV78" s="580">
        <v>172484</v>
      </c>
      <c r="AW78" s="383">
        <v>249127</v>
      </c>
      <c r="AX78" s="580">
        <v>272619</v>
      </c>
      <c r="AY78" s="173">
        <v>225194</v>
      </c>
      <c r="AZ78" s="358"/>
      <c r="BA78" s="358"/>
      <c r="BB78" s="164"/>
      <c r="BD78" s="3"/>
    </row>
    <row r="79" spans="1:56" ht="12.75" customHeight="1">
      <c r="A79" s="7" t="s">
        <v>405</v>
      </c>
      <c r="B79" s="13"/>
      <c r="C79" s="13"/>
      <c r="D79" s="13"/>
      <c r="E79" s="13"/>
      <c r="F79" s="13"/>
      <c r="G79" s="13"/>
      <c r="H79" s="13"/>
      <c r="I79" s="15"/>
      <c r="J79" s="13"/>
      <c r="K79" s="13"/>
      <c r="L79" s="13"/>
      <c r="M79" s="15"/>
      <c r="N79" s="13"/>
      <c r="O79" s="13"/>
      <c r="P79" s="13"/>
      <c r="Q79" s="15"/>
      <c r="R79" s="13"/>
      <c r="S79" s="13"/>
      <c r="T79" s="13"/>
      <c r="U79" s="15"/>
      <c r="V79" s="13"/>
      <c r="W79" s="13"/>
      <c r="X79" s="13"/>
      <c r="Y79" s="15"/>
      <c r="Z79" s="13"/>
      <c r="AA79" s="13"/>
      <c r="AB79" s="13"/>
      <c r="AC79" s="15"/>
      <c r="AD79" s="15"/>
      <c r="AE79" s="15"/>
      <c r="AF79" s="15"/>
      <c r="AG79" s="15"/>
      <c r="AH79" s="15"/>
      <c r="AI79" s="15"/>
      <c r="AJ79" s="15"/>
      <c r="AK79" s="15"/>
      <c r="AL79" s="3"/>
      <c r="AM79" s="3"/>
      <c r="AN79" s="3"/>
      <c r="AO79" s="83"/>
      <c r="AP79" s="83"/>
      <c r="AW79" s="2"/>
      <c r="AX79" s="2"/>
      <c r="BA79" s="3"/>
      <c r="BB79" s="3"/>
      <c r="BD79" s="3"/>
    </row>
    <row r="80" spans="1:56" ht="12.75">
      <c r="A80" s="3"/>
      <c r="B80" s="3"/>
      <c r="C80" s="3"/>
      <c r="D80" s="3"/>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83"/>
      <c r="BA80" s="3"/>
      <c r="BB80" s="3"/>
      <c r="BD80" s="3"/>
    </row>
    <row r="81" spans="7:56" ht="12.75">
      <c r="G81" s="729"/>
      <c r="H81" s="729"/>
      <c r="I81" s="31"/>
      <c r="M81" s="31"/>
      <c r="Q81" s="31"/>
      <c r="U81" s="31"/>
      <c r="Y81" s="31"/>
      <c r="AC81" s="31"/>
      <c r="AK81" s="31"/>
      <c r="AL81" s="3"/>
      <c r="AM81" s="3"/>
      <c r="AN81" s="3"/>
      <c r="AW81" s="31"/>
      <c r="AX81" s="31"/>
      <c r="AY81" s="106"/>
      <c r="AZ81" s="106"/>
      <c r="BA81" s="3"/>
      <c r="BB81" s="3"/>
      <c r="BD81" s="3"/>
    </row>
    <row r="82" spans="7:56" ht="12.75">
      <c r="G82" s="729"/>
      <c r="H82" s="729"/>
      <c r="I82" s="31"/>
      <c r="M82" s="31"/>
      <c r="Q82" s="31"/>
      <c r="U82" s="31"/>
      <c r="Y82" s="31"/>
      <c r="AC82" s="31"/>
      <c r="AK82" s="31"/>
      <c r="AL82" s="3"/>
      <c r="AM82" s="3"/>
      <c r="AN82" s="3"/>
      <c r="AW82" s="31"/>
      <c r="AX82" s="31"/>
      <c r="AY82" s="106"/>
      <c r="AZ82" s="106"/>
      <c r="BA82" s="3"/>
      <c r="BB82" s="3"/>
      <c r="BD82" s="3"/>
    </row>
    <row r="83" spans="7:52" ht="12.75">
      <c r="G83" s="729"/>
      <c r="H83" s="729"/>
      <c r="I83" s="31"/>
      <c r="M83" s="31"/>
      <c r="Q83" s="31"/>
      <c r="U83" s="31"/>
      <c r="Y83" s="31"/>
      <c r="AC83" s="31"/>
      <c r="AK83" s="31"/>
      <c r="AL83" s="3"/>
      <c r="AM83" s="3"/>
      <c r="AN83" s="3"/>
      <c r="AW83" s="31"/>
      <c r="AX83" s="31"/>
      <c r="AZ83" s="106"/>
    </row>
    <row r="84" spans="7:52" ht="12.75">
      <c r="G84" s="729"/>
      <c r="H84" s="729"/>
      <c r="I84" s="1301"/>
      <c r="J84" s="1301"/>
      <c r="K84" s="1301"/>
      <c r="L84" s="729"/>
      <c r="M84" s="31"/>
      <c r="Q84" s="31"/>
      <c r="U84" s="31"/>
      <c r="Y84" s="31"/>
      <c r="AC84" s="31"/>
      <c r="AK84" s="31"/>
      <c r="AL84" s="3"/>
      <c r="AM84" s="3"/>
      <c r="AN84" s="3"/>
      <c r="AW84" s="2"/>
      <c r="AX84" s="2"/>
      <c r="AZ84" s="106"/>
    </row>
    <row r="85" spans="7:52" ht="12.75">
      <c r="G85" s="729"/>
      <c r="H85" s="729"/>
      <c r="I85" s="1301"/>
      <c r="J85" s="1301"/>
      <c r="K85" s="1301"/>
      <c r="L85" s="729"/>
      <c r="M85" s="888"/>
      <c r="Q85" s="2"/>
      <c r="U85" s="2"/>
      <c r="Y85" s="2"/>
      <c r="AC85" s="2"/>
      <c r="AK85" s="150"/>
      <c r="AL85" s="3"/>
      <c r="AM85" s="3"/>
      <c r="AN85" s="3"/>
      <c r="AW85" s="2"/>
      <c r="AX85" s="2"/>
      <c r="AZ85" s="106"/>
    </row>
    <row r="86" spans="7:50" ht="12.75">
      <c r="G86" s="729"/>
      <c r="H86" s="729"/>
      <c r="I86" s="1301"/>
      <c r="J86" s="1301"/>
      <c r="K86" s="1301"/>
      <c r="L86" s="729"/>
      <c r="M86" s="2"/>
      <c r="Q86" s="2"/>
      <c r="U86" s="2"/>
      <c r="Y86" s="2"/>
      <c r="AC86" s="2"/>
      <c r="AK86" s="151"/>
      <c r="AL86" s="3"/>
      <c r="AM86" s="3"/>
      <c r="AN86" s="3"/>
      <c r="AW86" s="2"/>
      <c r="AX86" s="2"/>
    </row>
    <row r="87" spans="7:50" ht="12.75">
      <c r="G87" s="729"/>
      <c r="H87" s="729"/>
      <c r="I87" s="1301"/>
      <c r="J87" s="1301"/>
      <c r="K87" s="1301"/>
      <c r="L87" s="729"/>
      <c r="M87" s="888"/>
      <c r="Q87" s="2"/>
      <c r="U87" s="2"/>
      <c r="Y87" s="2"/>
      <c r="AC87" s="2"/>
      <c r="AK87" s="151"/>
      <c r="AL87" s="3"/>
      <c r="AM87" s="3"/>
      <c r="AN87" s="3"/>
      <c r="AW87" s="32"/>
      <c r="AX87" s="32"/>
    </row>
    <row r="88" spans="5:50" ht="12.75">
      <c r="E88"/>
      <c r="F88"/>
      <c r="G88"/>
      <c r="H88"/>
      <c r="I88" s="1301"/>
      <c r="J88" s="1301"/>
      <c r="K88" s="1301"/>
      <c r="L88" s="729"/>
      <c r="M88" s="729"/>
      <c r="AC88" s="11"/>
      <c r="AD88" s="35"/>
      <c r="AE88" s="35"/>
      <c r="AF88" s="35"/>
      <c r="AG88" s="35"/>
      <c r="AH88" s="35"/>
      <c r="AI88" s="35"/>
      <c r="AJ88" s="35"/>
      <c r="AK88" s="41"/>
      <c r="AL88" s="3"/>
      <c r="AM88" s="3"/>
      <c r="AN88" s="3"/>
      <c r="AW88" s="35"/>
      <c r="AX88" s="35"/>
    </row>
    <row r="89" spans="5:50" ht="12.75">
      <c r="E89"/>
      <c r="F89"/>
      <c r="G89"/>
      <c r="H89"/>
      <c r="I89" s="1301"/>
      <c r="J89" s="1301"/>
      <c r="K89" s="1301"/>
      <c r="L89" s="729"/>
      <c r="M89" s="729"/>
      <c r="AC89" s="11"/>
      <c r="AD89" s="35"/>
      <c r="AE89" s="35"/>
      <c r="AF89" s="35"/>
      <c r="AG89" s="35"/>
      <c r="AH89" s="35"/>
      <c r="AI89" s="35"/>
      <c r="AJ89" s="35"/>
      <c r="AK89" s="41"/>
      <c r="AL89" s="3"/>
      <c r="AM89" s="3"/>
      <c r="AN89" s="3"/>
      <c r="AW89" s="35"/>
      <c r="AX89" s="35"/>
    </row>
    <row r="90" spans="5:50" ht="12.75">
      <c r="E90"/>
      <c r="F90"/>
      <c r="G90"/>
      <c r="H90"/>
      <c r="I90" s="1301"/>
      <c r="J90" s="1301"/>
      <c r="K90" s="1301"/>
      <c r="L90" s="729"/>
      <c r="M90" s="729"/>
      <c r="AC90" s="35"/>
      <c r="AD90" s="35"/>
      <c r="AE90" s="35"/>
      <c r="AF90" s="35"/>
      <c r="AG90" s="35"/>
      <c r="AH90" s="35"/>
      <c r="AI90" s="35"/>
      <c r="AJ90" s="35"/>
      <c r="AK90" s="35"/>
      <c r="AL90" s="3"/>
      <c r="AM90" s="3"/>
      <c r="AN90" s="3"/>
      <c r="AW90" s="36"/>
      <c r="AX90" s="36"/>
    </row>
    <row r="91" spans="5:50" ht="12.75">
      <c r="E91"/>
      <c r="F91"/>
      <c r="G91"/>
      <c r="H91"/>
      <c r="I91" s="729"/>
      <c r="M91" s="729"/>
      <c r="AC91" s="36"/>
      <c r="AD91" s="36"/>
      <c r="AE91" s="36"/>
      <c r="AF91" s="36"/>
      <c r="AG91" s="36"/>
      <c r="AH91" s="36"/>
      <c r="AI91" s="36"/>
      <c r="AJ91" s="36"/>
      <c r="AK91" s="36"/>
      <c r="AL91" s="3"/>
      <c r="AM91" s="3"/>
      <c r="AN91" s="3"/>
      <c r="AW91" s="36"/>
      <c r="AX91" s="36"/>
    </row>
    <row r="92" spans="5:50" ht="12.75">
      <c r="E92"/>
      <c r="F92"/>
      <c r="G92"/>
      <c r="H92"/>
      <c r="I92" s="729"/>
      <c r="AC92" s="36"/>
      <c r="AD92" s="36"/>
      <c r="AE92" s="36"/>
      <c r="AF92" s="36"/>
      <c r="AG92" s="36"/>
      <c r="AH92" s="36"/>
      <c r="AI92" s="36"/>
      <c r="AJ92" s="36"/>
      <c r="AK92" s="36"/>
      <c r="AL92" s="3"/>
      <c r="AM92" s="3"/>
      <c r="AN92" s="3"/>
      <c r="AW92" s="3"/>
      <c r="AX92" s="3"/>
    </row>
    <row r="93" spans="5:50" ht="12.75">
      <c r="E93"/>
      <c r="F93"/>
      <c r="G93"/>
      <c r="H93"/>
      <c r="I93" s="729"/>
      <c r="M93" s="729"/>
      <c r="AC93" s="3"/>
      <c r="AD93" s="3"/>
      <c r="AE93" s="3"/>
      <c r="AF93" s="3"/>
      <c r="AG93" s="3"/>
      <c r="AH93" s="3"/>
      <c r="AI93" s="3"/>
      <c r="AJ93" s="3"/>
      <c r="AK93" s="3"/>
      <c r="AL93" s="3"/>
      <c r="AM93" s="3"/>
      <c r="AN93" s="3"/>
      <c r="AW93" s="3"/>
      <c r="AX93" s="3"/>
    </row>
    <row r="94" spans="5:50" ht="12.75">
      <c r="E94"/>
      <c r="F94"/>
      <c r="G94"/>
      <c r="H94"/>
      <c r="AC94" s="3"/>
      <c r="AD94" s="3"/>
      <c r="AE94" s="3"/>
      <c r="AF94" s="3"/>
      <c r="AG94" s="3"/>
      <c r="AH94" s="3"/>
      <c r="AI94" s="3"/>
      <c r="AJ94" s="3"/>
      <c r="AK94" s="3"/>
      <c r="AL94" s="3"/>
      <c r="AM94" s="3"/>
      <c r="AN94" s="3"/>
      <c r="AW94" s="3"/>
      <c r="AX94" s="3"/>
    </row>
    <row r="95" spans="5:50" ht="12.75">
      <c r="E95"/>
      <c r="F95"/>
      <c r="G95"/>
      <c r="H95"/>
      <c r="AC95" s="3"/>
      <c r="AD95" s="3"/>
      <c r="AE95" s="3"/>
      <c r="AF95" s="3"/>
      <c r="AG95" s="3"/>
      <c r="AH95" s="3"/>
      <c r="AI95" s="3"/>
      <c r="AJ95" s="3"/>
      <c r="AK95" s="3"/>
      <c r="AL95" s="3"/>
      <c r="AM95" s="3"/>
      <c r="AN95" s="3"/>
      <c r="AW95" s="3"/>
      <c r="AX95" s="3"/>
    </row>
    <row r="96" spans="5:50" ht="12.75">
      <c r="E96"/>
      <c r="F96"/>
      <c r="G96"/>
      <c r="H96"/>
      <c r="J96"/>
      <c r="K96"/>
      <c r="L96"/>
      <c r="AC96" s="3"/>
      <c r="AD96" s="3"/>
      <c r="AE96" s="3"/>
      <c r="AF96" s="3"/>
      <c r="AG96" s="3"/>
      <c r="AH96" s="3"/>
      <c r="AI96" s="3"/>
      <c r="AJ96" s="3"/>
      <c r="AK96" s="3"/>
      <c r="AL96" s="3"/>
      <c r="AM96" s="3"/>
      <c r="AN96" s="3"/>
      <c r="AW96" s="3"/>
      <c r="AX96" s="3"/>
    </row>
    <row r="97" spans="5:40" ht="12.75">
      <c r="E97"/>
      <c r="F97"/>
      <c r="G97"/>
      <c r="H97"/>
      <c r="J97"/>
      <c r="K97"/>
      <c r="L97"/>
      <c r="AC97" s="3"/>
      <c r="AD97" s="3"/>
      <c r="AE97" s="3"/>
      <c r="AF97" s="3"/>
      <c r="AG97" s="3"/>
      <c r="AH97" s="3"/>
      <c r="AI97" s="3"/>
      <c r="AJ97" s="3"/>
      <c r="AK97" s="3"/>
      <c r="AL97" s="3"/>
      <c r="AM97" s="3"/>
      <c r="AN97" s="3"/>
    </row>
  </sheetData>
  <sheetProtection/>
  <mergeCells count="10">
    <mergeCell ref="C10:D10"/>
    <mergeCell ref="C11:D11"/>
    <mergeCell ref="AO11:AP11"/>
    <mergeCell ref="C70:D70"/>
    <mergeCell ref="C71:D71"/>
    <mergeCell ref="AO71:AP71"/>
    <mergeCell ref="A33:B33"/>
    <mergeCell ref="C58:D58"/>
    <mergeCell ref="C59:D59"/>
    <mergeCell ref="AO59:AP59"/>
  </mergeCells>
  <conditionalFormatting sqref="A69 AD65:AK68 A77:A78 AS68:AX68 A56:A57 AW45:AZ45 A40:A43 A46 AS37:AX37 A36 B36:B51 AS51:AW51 N51:U51 AM37:AN45 J37:AK45 F38:I45 AS46:AU46 AW38:AX44 AR38:AV45 AW65:AX67">
    <cfRule type="cellIs" priority="3" dxfId="0" operator="equal" stopIfTrue="1">
      <formula>0</formula>
    </cfRule>
  </conditionalFormatting>
  <conditionalFormatting sqref="AR68 AR37 AR51 AR46">
    <cfRule type="cellIs" priority="2" dxfId="0" operator="equal" stopIfTrue="1">
      <formula>0</formula>
    </cfRule>
  </conditionalFormatting>
  <conditionalFormatting sqref="F37:I37">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3" r:id="rId2"/>
  <headerFooter alignWithMargins="0">
    <oddFooter>&amp;CPage 8</oddFooter>
  </headerFooter>
  <colBreaks count="1" manualBreakCount="1">
    <brk id="51" max="82"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5:BI100"/>
  <sheetViews>
    <sheetView zoomScale="60" zoomScaleNormal="60" zoomScaleSheetLayoutView="90" workbookViewId="0" topLeftCell="A1">
      <selection activeCell="A1" sqref="A1"/>
    </sheetView>
  </sheetViews>
  <sheetFormatPr defaultColWidth="9.140625" defaultRowHeight="12.75"/>
  <cols>
    <col min="1" max="1" width="2.7109375" style="0" customWidth="1"/>
    <col min="2" max="2" width="52.00390625" style="0" customWidth="1"/>
    <col min="3" max="4" width="9.7109375" style="0" customWidth="1"/>
    <col min="5" max="5" width="1.57421875" style="3" customWidth="1"/>
    <col min="6" max="6" width="9.28125" style="3" hidden="1" customWidth="1"/>
    <col min="7" max="8" width="9.28125" style="3" customWidth="1"/>
    <col min="9" max="9" width="9.421875" style="3" customWidth="1"/>
    <col min="10" max="12" width="9.28125" style="3" customWidth="1"/>
    <col min="13" max="14" width="9.421875" style="3" customWidth="1"/>
    <col min="15" max="15" width="9.28125" style="3" customWidth="1"/>
    <col min="16" max="16" width="9.28125" style="3" hidden="1" customWidth="1"/>
    <col min="17" max="18" width="9.421875" style="3" hidden="1" customWidth="1"/>
    <col min="19" max="26" width="9.28125" style="3" hidden="1" customWidth="1"/>
    <col min="27" max="28" width="9.7109375" style="3" hidden="1" customWidth="1"/>
    <col min="29" max="37" width="9.7109375" style="0" hidden="1" customWidth="1"/>
    <col min="38" max="38" width="1.57421875" style="0" customWidth="1"/>
    <col min="39" max="41" width="10.00390625" style="0" customWidth="1"/>
    <col min="42" max="42" width="9.7109375" style="0" customWidth="1"/>
    <col min="43" max="43" width="1.57421875" style="0" customWidth="1"/>
    <col min="44" max="46" width="9.57421875" style="0" customWidth="1"/>
    <col min="47" max="48" width="9.7109375" style="0" customWidth="1"/>
    <col min="49" max="53" width="9.7109375" style="0" hidden="1" customWidth="1"/>
    <col min="54" max="54" width="1.57421875" style="0" customWidth="1"/>
  </cols>
  <sheetData>
    <row r="1" ht="6" customHeight="1"/>
    <row r="2" ht="12.75"/>
    <row r="3" ht="12.75"/>
    <row r="4" ht="12.75"/>
    <row r="5" spans="1:31" ht="5.25" customHeight="1">
      <c r="A5" s="3"/>
      <c r="B5" s="3"/>
      <c r="C5" s="3"/>
      <c r="D5" s="3"/>
      <c r="AC5" s="3"/>
      <c r="AD5" s="3"/>
      <c r="AE5" s="3"/>
    </row>
    <row r="6" spans="1:44" ht="18" customHeight="1">
      <c r="A6" s="134" t="s">
        <v>412</v>
      </c>
      <c r="B6" s="3"/>
      <c r="C6" s="3"/>
      <c r="D6" s="3"/>
      <c r="AC6" s="3"/>
      <c r="AD6" s="3"/>
      <c r="AE6" s="3"/>
      <c r="AR6" s="587"/>
    </row>
    <row r="7" spans="1:44" ht="18" customHeight="1">
      <c r="A7" s="166" t="s">
        <v>382</v>
      </c>
      <c r="B7" s="5"/>
      <c r="C7" s="5"/>
      <c r="D7" s="5"/>
      <c r="E7" s="5"/>
      <c r="F7" s="5"/>
      <c r="G7" s="5"/>
      <c r="H7" s="5"/>
      <c r="I7" s="5"/>
      <c r="J7" s="5"/>
      <c r="K7" s="5"/>
      <c r="L7" s="5"/>
      <c r="M7" s="5"/>
      <c r="N7" s="5"/>
      <c r="O7" s="5"/>
      <c r="P7" s="5"/>
      <c r="Q7" s="5"/>
      <c r="R7" s="5"/>
      <c r="S7" s="5"/>
      <c r="T7" s="5"/>
      <c r="U7" s="5"/>
      <c r="V7" s="5"/>
      <c r="W7" s="5"/>
      <c r="X7" s="5"/>
      <c r="Y7" s="5"/>
      <c r="Z7" s="5"/>
      <c r="AA7" s="5"/>
      <c r="AB7" s="5"/>
      <c r="AC7" s="3"/>
      <c r="AD7" s="3"/>
      <c r="AE7" s="3"/>
      <c r="AR7" s="587"/>
    </row>
    <row r="8" spans="1:44" ht="15">
      <c r="A8" s="788" t="s">
        <v>478</v>
      </c>
      <c r="B8" s="5"/>
      <c r="C8" s="5"/>
      <c r="D8" s="5"/>
      <c r="E8" s="5"/>
      <c r="F8" s="5"/>
      <c r="G8" s="5"/>
      <c r="H8" s="5"/>
      <c r="I8" s="5"/>
      <c r="J8" s="5"/>
      <c r="K8" s="5"/>
      <c r="L8" s="5"/>
      <c r="M8" s="5"/>
      <c r="N8" s="5"/>
      <c r="O8" s="5"/>
      <c r="P8" s="5"/>
      <c r="Q8" s="5"/>
      <c r="R8" s="5"/>
      <c r="S8" s="5"/>
      <c r="T8" s="5"/>
      <c r="U8" s="5"/>
      <c r="V8" s="5"/>
      <c r="W8" s="5"/>
      <c r="X8" s="5"/>
      <c r="Y8" s="5"/>
      <c r="Z8" s="5"/>
      <c r="AA8" s="5"/>
      <c r="AB8" s="5"/>
      <c r="AC8" s="3"/>
      <c r="AD8" s="3"/>
      <c r="AE8" s="3"/>
      <c r="AR8" s="587"/>
    </row>
    <row r="9" spans="1:53" ht="9.75" customHeight="1">
      <c r="A9" s="2"/>
      <c r="B9" s="2"/>
      <c r="C9" s="2"/>
      <c r="D9" s="2"/>
      <c r="E9" s="2"/>
      <c r="F9" s="491"/>
      <c r="G9" s="491"/>
      <c r="H9" s="491"/>
      <c r="I9" s="2"/>
      <c r="J9" s="491"/>
      <c r="K9" s="491"/>
      <c r="L9" s="491"/>
      <c r="M9" s="2"/>
      <c r="N9" s="491"/>
      <c r="O9" s="2"/>
      <c r="P9" s="491"/>
      <c r="Q9" s="2"/>
      <c r="R9" s="491"/>
      <c r="S9" s="2"/>
      <c r="T9" s="491"/>
      <c r="U9" s="2"/>
      <c r="V9" s="491"/>
      <c r="W9" s="2"/>
      <c r="X9" s="491"/>
      <c r="Y9" s="2"/>
      <c r="Z9" s="491"/>
      <c r="AA9" s="2"/>
      <c r="AB9" s="2"/>
      <c r="AC9" s="3"/>
      <c r="AD9" s="3"/>
      <c r="AE9" s="3"/>
      <c r="AO9" s="626"/>
      <c r="AP9" s="626"/>
      <c r="AY9" s="3"/>
      <c r="AZ9" s="3"/>
      <c r="BA9" s="3"/>
    </row>
    <row r="10" spans="1:54" ht="12.75">
      <c r="A10" s="6" t="s">
        <v>1</v>
      </c>
      <c r="B10" s="7"/>
      <c r="C10" s="1437" t="s">
        <v>497</v>
      </c>
      <c r="D10" s="1438"/>
      <c r="E10" s="259"/>
      <c r="F10" s="477"/>
      <c r="G10" s="477"/>
      <c r="H10" s="477"/>
      <c r="I10" s="19"/>
      <c r="J10" s="477"/>
      <c r="K10" s="477"/>
      <c r="L10" s="477"/>
      <c r="M10" s="19"/>
      <c r="N10" s="17"/>
      <c r="O10" s="18"/>
      <c r="P10" s="477"/>
      <c r="Q10" s="19"/>
      <c r="R10" s="17"/>
      <c r="S10" s="18"/>
      <c r="T10" s="477"/>
      <c r="U10" s="19"/>
      <c r="W10" s="18"/>
      <c r="X10" s="2"/>
      <c r="Y10" s="19"/>
      <c r="Z10" s="18"/>
      <c r="AB10" s="477"/>
      <c r="AC10" s="19"/>
      <c r="AD10" s="18"/>
      <c r="AE10" s="18"/>
      <c r="AF10" s="18"/>
      <c r="AG10" s="18"/>
      <c r="AH10" s="22"/>
      <c r="AI10" s="19"/>
      <c r="AJ10" s="19"/>
      <c r="AK10" s="19"/>
      <c r="AL10" s="24"/>
      <c r="AM10" s="725" t="s">
        <v>406</v>
      </c>
      <c r="AN10" s="711"/>
      <c r="AO10" s="711" t="s">
        <v>480</v>
      </c>
      <c r="AP10" s="712"/>
      <c r="AQ10" s="15"/>
      <c r="AR10" s="88"/>
      <c r="AS10" s="88"/>
      <c r="AT10" s="88"/>
      <c r="AU10" s="88"/>
      <c r="AV10" s="88"/>
      <c r="AW10" s="17"/>
      <c r="AX10" s="22"/>
      <c r="AY10" s="88"/>
      <c r="AZ10" s="350"/>
      <c r="BA10" s="756"/>
      <c r="BB10" s="25"/>
    </row>
    <row r="11" spans="1:61" ht="13.5">
      <c r="A11" s="6" t="s">
        <v>2</v>
      </c>
      <c r="B11" s="7"/>
      <c r="C11" s="1439" t="s">
        <v>41</v>
      </c>
      <c r="D11" s="1440"/>
      <c r="E11" s="603"/>
      <c r="F11" s="21" t="s">
        <v>431</v>
      </c>
      <c r="G11" s="21" t="s">
        <v>430</v>
      </c>
      <c r="H11" s="21" t="s">
        <v>429</v>
      </c>
      <c r="I11" s="14" t="s">
        <v>427</v>
      </c>
      <c r="J11" s="21" t="s">
        <v>362</v>
      </c>
      <c r="K11" s="21" t="s">
        <v>363</v>
      </c>
      <c r="L11" s="21" t="s">
        <v>364</v>
      </c>
      <c r="M11" s="14" t="s">
        <v>365</v>
      </c>
      <c r="N11" s="20" t="s">
        <v>277</v>
      </c>
      <c r="O11" s="21" t="s">
        <v>278</v>
      </c>
      <c r="P11" s="21" t="s">
        <v>279</v>
      </c>
      <c r="Q11" s="14" t="s">
        <v>276</v>
      </c>
      <c r="R11" s="20" t="s">
        <v>222</v>
      </c>
      <c r="S11" s="21" t="s">
        <v>223</v>
      </c>
      <c r="T11" s="21" t="s">
        <v>224</v>
      </c>
      <c r="U11" s="14" t="s">
        <v>225</v>
      </c>
      <c r="V11" s="21" t="s">
        <v>141</v>
      </c>
      <c r="W11" s="21" t="s">
        <v>140</v>
      </c>
      <c r="X11" s="21" t="s">
        <v>139</v>
      </c>
      <c r="Y11" s="14" t="s">
        <v>138</v>
      </c>
      <c r="Z11" s="21" t="s">
        <v>91</v>
      </c>
      <c r="AA11" s="21" t="s">
        <v>92</v>
      </c>
      <c r="AB11" s="21" t="s">
        <v>93</v>
      </c>
      <c r="AC11" s="14" t="s">
        <v>32</v>
      </c>
      <c r="AD11" s="21" t="s">
        <v>33</v>
      </c>
      <c r="AE11" s="21" t="s">
        <v>34</v>
      </c>
      <c r="AF11" s="21" t="s">
        <v>35</v>
      </c>
      <c r="AG11" s="21" t="s">
        <v>36</v>
      </c>
      <c r="AH11" s="23" t="s">
        <v>37</v>
      </c>
      <c r="AI11" s="14" t="s">
        <v>38</v>
      </c>
      <c r="AJ11" s="14" t="s">
        <v>39</v>
      </c>
      <c r="AK11" s="14" t="s">
        <v>40</v>
      </c>
      <c r="AL11" s="259"/>
      <c r="AM11" s="21" t="s">
        <v>430</v>
      </c>
      <c r="AN11" s="21" t="s">
        <v>363</v>
      </c>
      <c r="AO11" s="1454" t="s">
        <v>41</v>
      </c>
      <c r="AP11" s="1440"/>
      <c r="AQ11" s="16"/>
      <c r="AR11" s="20" t="s">
        <v>367</v>
      </c>
      <c r="AS11" s="20" t="s">
        <v>285</v>
      </c>
      <c r="AT11" s="20" t="s">
        <v>143</v>
      </c>
      <c r="AU11" s="20" t="s">
        <v>142</v>
      </c>
      <c r="AV11" s="20" t="s">
        <v>45</v>
      </c>
      <c r="AW11" s="20" t="s">
        <v>42</v>
      </c>
      <c r="AX11" s="23" t="s">
        <v>43</v>
      </c>
      <c r="AY11" s="23" t="s">
        <v>165</v>
      </c>
      <c r="AZ11" s="23" t="s">
        <v>166</v>
      </c>
      <c r="BA11" s="20" t="s">
        <v>167</v>
      </c>
      <c r="BB11" s="25"/>
      <c r="BC11" s="3"/>
      <c r="BD11" s="3"/>
      <c r="BG11" s="3"/>
      <c r="BH11" s="3"/>
      <c r="BI11" s="3"/>
    </row>
    <row r="12" spans="1:61" ht="12.75">
      <c r="A12" s="6"/>
      <c r="B12" s="7"/>
      <c r="C12" s="693"/>
      <c r="D12" s="692"/>
      <c r="E12" s="603"/>
      <c r="F12" s="697" t="s">
        <v>307</v>
      </c>
      <c r="G12" s="697" t="s">
        <v>307</v>
      </c>
      <c r="H12" s="697" t="s">
        <v>307</v>
      </c>
      <c r="I12" s="698" t="s">
        <v>307</v>
      </c>
      <c r="J12" s="697" t="s">
        <v>307</v>
      </c>
      <c r="K12" s="697" t="s">
        <v>307</v>
      </c>
      <c r="L12" s="697" t="s">
        <v>307</v>
      </c>
      <c r="M12" s="698" t="s">
        <v>307</v>
      </c>
      <c r="N12" s="696" t="s">
        <v>307</v>
      </c>
      <c r="O12" s="697" t="s">
        <v>307</v>
      </c>
      <c r="P12" s="697" t="s">
        <v>307</v>
      </c>
      <c r="Q12" s="698" t="s">
        <v>307</v>
      </c>
      <c r="R12" s="696" t="s">
        <v>307</v>
      </c>
      <c r="S12" s="697" t="s">
        <v>307</v>
      </c>
      <c r="T12" s="697" t="s">
        <v>307</v>
      </c>
      <c r="U12" s="698" t="s">
        <v>307</v>
      </c>
      <c r="V12" s="696" t="s">
        <v>308</v>
      </c>
      <c r="W12" s="697" t="s">
        <v>308</v>
      </c>
      <c r="X12" s="697" t="s">
        <v>308</v>
      </c>
      <c r="Y12" s="698" t="s">
        <v>308</v>
      </c>
      <c r="Z12" s="15"/>
      <c r="AA12" s="15"/>
      <c r="AB12" s="15"/>
      <c r="AC12" s="233"/>
      <c r="AD12" s="15"/>
      <c r="AE12" s="15"/>
      <c r="AF12" s="15"/>
      <c r="AG12" s="15"/>
      <c r="AH12" s="259"/>
      <c r="AI12" s="233"/>
      <c r="AJ12" s="233"/>
      <c r="AK12" s="233"/>
      <c r="AL12" s="259"/>
      <c r="AM12" s="696" t="s">
        <v>307</v>
      </c>
      <c r="AN12" s="697" t="s">
        <v>307</v>
      </c>
      <c r="AO12" s="713"/>
      <c r="AP12" s="714"/>
      <c r="AQ12" s="16"/>
      <c r="AR12" s="696" t="s">
        <v>307</v>
      </c>
      <c r="AS12" s="696" t="s">
        <v>307</v>
      </c>
      <c r="AT12" s="696" t="s">
        <v>307</v>
      </c>
      <c r="AU12" s="696" t="s">
        <v>308</v>
      </c>
      <c r="AV12" s="696" t="s">
        <v>308</v>
      </c>
      <c r="AW12" s="696" t="s">
        <v>308</v>
      </c>
      <c r="AX12" s="699" t="s">
        <v>308</v>
      </c>
      <c r="AY12" s="259"/>
      <c r="AZ12" s="259"/>
      <c r="BA12" s="232"/>
      <c r="BB12" s="25"/>
      <c r="BC12" s="3"/>
      <c r="BD12" s="3"/>
      <c r="BG12" s="3"/>
      <c r="BH12" s="3"/>
      <c r="BI12" s="3"/>
    </row>
    <row r="13" spans="1:59" ht="12.75" customHeight="1">
      <c r="A13" s="142" t="s">
        <v>68</v>
      </c>
      <c r="B13" s="8"/>
      <c r="C13" s="164"/>
      <c r="D13" s="166"/>
      <c r="E13" s="89"/>
      <c r="F13" s="148"/>
      <c r="G13" s="148"/>
      <c r="H13" s="148"/>
      <c r="I13" s="166"/>
      <c r="J13" s="148"/>
      <c r="K13" s="148"/>
      <c r="L13" s="148"/>
      <c r="M13" s="166"/>
      <c r="N13" s="196"/>
      <c r="O13" s="195"/>
      <c r="P13" s="195"/>
      <c r="Q13" s="165"/>
      <c r="R13" s="148"/>
      <c r="S13" s="148"/>
      <c r="T13" s="148"/>
      <c r="U13" s="166"/>
      <c r="V13" s="148"/>
      <c r="W13" s="148"/>
      <c r="X13" s="148"/>
      <c r="Y13" s="166"/>
      <c r="Z13" s="148"/>
      <c r="AA13" s="148"/>
      <c r="AB13" s="148"/>
      <c r="AC13" s="166"/>
      <c r="AD13" s="196"/>
      <c r="AE13" s="148"/>
      <c r="AF13" s="148"/>
      <c r="AH13" s="22"/>
      <c r="AI13" s="26"/>
      <c r="AJ13" s="26"/>
      <c r="AK13" s="19"/>
      <c r="AL13" s="89"/>
      <c r="AM13" s="148"/>
      <c r="AN13" s="148"/>
      <c r="AO13" s="148"/>
      <c r="AP13" s="166"/>
      <c r="AQ13" s="83"/>
      <c r="AR13" s="89"/>
      <c r="AS13" s="89"/>
      <c r="AT13" s="89"/>
      <c r="AU13" s="89"/>
      <c r="AV13" s="89"/>
      <c r="AW13" s="164"/>
      <c r="AX13" s="89"/>
      <c r="AY13" s="363"/>
      <c r="AZ13" s="363"/>
      <c r="BA13" s="757"/>
      <c r="BB13" s="25"/>
      <c r="BC13" s="3"/>
      <c r="BD13" s="3"/>
      <c r="BG13" s="3"/>
    </row>
    <row r="14" spans="1:59" ht="12.75" customHeight="1">
      <c r="A14" s="7"/>
      <c r="B14" s="227" t="s">
        <v>326</v>
      </c>
      <c r="C14" s="38">
        <v>2226</v>
      </c>
      <c r="D14" s="30">
        <v>0.08978702807357213</v>
      </c>
      <c r="E14" s="592"/>
      <c r="F14" s="621"/>
      <c r="G14" s="621">
        <v>27018</v>
      </c>
      <c r="H14" s="621">
        <v>25830</v>
      </c>
      <c r="I14" s="762">
        <v>26978</v>
      </c>
      <c r="J14" s="621">
        <v>26706</v>
      </c>
      <c r="K14" s="621">
        <v>24792</v>
      </c>
      <c r="L14" s="621">
        <v>20672</v>
      </c>
      <c r="M14" s="762">
        <v>19587</v>
      </c>
      <c r="N14" s="666">
        <v>1987</v>
      </c>
      <c r="O14" s="799"/>
      <c r="P14" s="799"/>
      <c r="Q14" s="800"/>
      <c r="R14" s="799"/>
      <c r="S14" s="799"/>
      <c r="T14" s="799"/>
      <c r="U14" s="800"/>
      <c r="V14" s="621">
        <v>0</v>
      </c>
      <c r="W14" s="465"/>
      <c r="X14" s="465"/>
      <c r="Y14" s="216"/>
      <c r="Z14" s="465"/>
      <c r="AA14" s="465"/>
      <c r="AB14" s="465"/>
      <c r="AC14" s="216"/>
      <c r="AD14" s="175"/>
      <c r="AE14" s="167"/>
      <c r="AF14" s="167"/>
      <c r="AG14" s="213"/>
      <c r="AH14" s="177"/>
      <c r="AI14" s="168"/>
      <c r="AJ14" s="168"/>
      <c r="AK14" s="168"/>
      <c r="AL14" s="89"/>
      <c r="AM14" s="380">
        <v>79826</v>
      </c>
      <c r="AN14" s="213">
        <v>65051</v>
      </c>
      <c r="AO14" s="31">
        <v>14775</v>
      </c>
      <c r="AP14" s="554">
        <v>0.2271294830210143</v>
      </c>
      <c r="AQ14" s="83"/>
      <c r="AR14" s="201">
        <v>91757</v>
      </c>
      <c r="AS14" s="201">
        <v>1987</v>
      </c>
      <c r="AT14" s="811"/>
      <c r="AU14" s="811"/>
      <c r="AV14" s="811"/>
      <c r="AW14" s="811"/>
      <c r="AX14" s="201"/>
      <c r="AY14" s="364"/>
      <c r="AZ14" s="364"/>
      <c r="BA14" s="364"/>
      <c r="BB14" s="148"/>
      <c r="BD14" s="3"/>
      <c r="BG14" s="3"/>
    </row>
    <row r="15" spans="1:59" ht="12.75" customHeight="1">
      <c r="A15" s="8"/>
      <c r="B15" s="7"/>
      <c r="C15" s="169">
        <v>2226</v>
      </c>
      <c r="D15" s="170">
        <v>0.08978702807357213</v>
      </c>
      <c r="E15" s="592"/>
      <c r="F15" s="473">
        <v>0</v>
      </c>
      <c r="G15" s="473">
        <v>27018</v>
      </c>
      <c r="H15" s="473">
        <v>25830</v>
      </c>
      <c r="I15" s="221">
        <v>26978</v>
      </c>
      <c r="J15" s="473">
        <v>26706</v>
      </c>
      <c r="K15" s="473">
        <v>24792</v>
      </c>
      <c r="L15" s="473">
        <v>20672</v>
      </c>
      <c r="M15" s="221">
        <v>19587</v>
      </c>
      <c r="N15" s="797">
        <v>1987</v>
      </c>
      <c r="O15" s="801"/>
      <c r="P15" s="801"/>
      <c r="Q15" s="802"/>
      <c r="R15" s="803"/>
      <c r="S15" s="804"/>
      <c r="T15" s="804"/>
      <c r="U15" s="804"/>
      <c r="V15" s="473">
        <v>54990</v>
      </c>
      <c r="W15" s="473">
        <v>51733</v>
      </c>
      <c r="X15" s="473">
        <v>40138</v>
      </c>
      <c r="Y15" s="221">
        <v>40185</v>
      </c>
      <c r="Z15" s="473">
        <v>37255</v>
      </c>
      <c r="AA15" s="473">
        <v>33532</v>
      </c>
      <c r="AB15" s="473">
        <v>43844</v>
      </c>
      <c r="AC15" s="221">
        <v>57853</v>
      </c>
      <c r="AD15" s="178">
        <v>54463</v>
      </c>
      <c r="AE15" s="220">
        <v>61166</v>
      </c>
      <c r="AF15" s="220">
        <v>57415</v>
      </c>
      <c r="AG15" s="220">
        <v>76083</v>
      </c>
      <c r="AH15" s="171">
        <v>75876</v>
      </c>
      <c r="AI15" s="221">
        <v>68831</v>
      </c>
      <c r="AJ15" s="221">
        <v>55626</v>
      </c>
      <c r="AK15" s="221">
        <v>72286</v>
      </c>
      <c r="AL15" s="89"/>
      <c r="AM15" s="473">
        <v>79826</v>
      </c>
      <c r="AN15" s="841">
        <v>65051</v>
      </c>
      <c r="AO15" s="473">
        <v>14775</v>
      </c>
      <c r="AP15" s="170">
        <v>0.2271294830210143</v>
      </c>
      <c r="AQ15" s="83"/>
      <c r="AR15" s="202">
        <v>91757</v>
      </c>
      <c r="AS15" s="202">
        <v>1987</v>
      </c>
      <c r="AT15" s="812"/>
      <c r="AU15" s="812"/>
      <c r="AV15" s="812"/>
      <c r="AW15" s="812"/>
      <c r="AX15" s="202">
        <v>272619</v>
      </c>
      <c r="AY15" s="365">
        <v>225194</v>
      </c>
      <c r="AZ15" s="365">
        <v>178176</v>
      </c>
      <c r="BA15" s="365">
        <v>175983</v>
      </c>
      <c r="BB15" s="148"/>
      <c r="BD15" s="3"/>
      <c r="BG15" s="3"/>
    </row>
    <row r="16" spans="1:59" ht="12.75" customHeight="1">
      <c r="A16" s="142" t="s">
        <v>5</v>
      </c>
      <c r="B16" s="7"/>
      <c r="C16" s="38"/>
      <c r="D16" s="30"/>
      <c r="E16" s="592"/>
      <c r="F16" s="465"/>
      <c r="G16" s="465"/>
      <c r="H16" s="465"/>
      <c r="I16" s="216"/>
      <c r="J16" s="465"/>
      <c r="K16" s="465"/>
      <c r="L16" s="465"/>
      <c r="M16" s="216"/>
      <c r="N16" s="666"/>
      <c r="O16" s="805"/>
      <c r="P16" s="805"/>
      <c r="Q16" s="806"/>
      <c r="R16" s="805"/>
      <c r="S16" s="805"/>
      <c r="T16" s="805"/>
      <c r="U16" s="806"/>
      <c r="V16" s="465"/>
      <c r="W16" s="465"/>
      <c r="X16" s="465"/>
      <c r="Y16" s="216"/>
      <c r="Z16" s="465"/>
      <c r="AA16" s="465"/>
      <c r="AB16" s="465"/>
      <c r="AC16" s="216"/>
      <c r="AD16" s="174"/>
      <c r="AE16" s="212"/>
      <c r="AF16" s="212"/>
      <c r="AG16" s="212"/>
      <c r="AH16" s="161"/>
      <c r="AI16" s="216"/>
      <c r="AJ16" s="216"/>
      <c r="AK16" s="216"/>
      <c r="AL16" s="89"/>
      <c r="AM16" s="380"/>
      <c r="AN16" s="213"/>
      <c r="AO16" s="31"/>
      <c r="AP16" s="30"/>
      <c r="AQ16" s="83"/>
      <c r="AR16" s="203"/>
      <c r="AS16" s="203"/>
      <c r="AT16" s="813"/>
      <c r="AU16" s="813"/>
      <c r="AV16" s="813"/>
      <c r="AW16" s="811"/>
      <c r="AX16" s="201"/>
      <c r="AY16" s="364"/>
      <c r="AZ16" s="364"/>
      <c r="BA16" s="364"/>
      <c r="BB16" s="148"/>
      <c r="BD16" s="3"/>
      <c r="BG16" s="3"/>
    </row>
    <row r="17" spans="1:59" ht="12.75" customHeight="1">
      <c r="A17" s="142"/>
      <c r="B17" s="7" t="s">
        <v>399</v>
      </c>
      <c r="C17" s="38">
        <v>12</v>
      </c>
      <c r="D17" s="30">
        <v>0.001289629231595916</v>
      </c>
      <c r="E17" s="592"/>
      <c r="F17" s="465"/>
      <c r="G17" s="465">
        <v>9317</v>
      </c>
      <c r="H17" s="465">
        <v>8787</v>
      </c>
      <c r="I17" s="216">
        <v>9406</v>
      </c>
      <c r="J17" s="465">
        <v>9197</v>
      </c>
      <c r="K17" s="465">
        <v>9305</v>
      </c>
      <c r="L17" s="465">
        <v>7682</v>
      </c>
      <c r="M17" s="216">
        <v>7353</v>
      </c>
      <c r="N17" s="666">
        <v>683</v>
      </c>
      <c r="O17" s="805"/>
      <c r="P17" s="805"/>
      <c r="Q17" s="806"/>
      <c r="R17" s="805"/>
      <c r="S17" s="805"/>
      <c r="T17" s="805"/>
      <c r="U17" s="856"/>
      <c r="V17" s="465"/>
      <c r="W17" s="465"/>
      <c r="X17" s="465"/>
      <c r="Y17" s="216"/>
      <c r="Z17" s="465"/>
      <c r="AA17" s="465"/>
      <c r="AB17" s="465"/>
      <c r="AC17" s="216"/>
      <c r="AD17" s="174"/>
      <c r="AE17" s="212"/>
      <c r="AF17" s="212"/>
      <c r="AG17" s="212"/>
      <c r="AH17" s="161"/>
      <c r="AI17" s="216"/>
      <c r="AJ17" s="216"/>
      <c r="AK17" s="216"/>
      <c r="AL17" s="89"/>
      <c r="AM17" s="380">
        <v>27510</v>
      </c>
      <c r="AN17" s="213">
        <v>24340</v>
      </c>
      <c r="AO17" s="31">
        <v>3170</v>
      </c>
      <c r="AP17" s="30">
        <v>0.13023829087921118</v>
      </c>
      <c r="AQ17" s="83"/>
      <c r="AR17" s="201">
        <v>33537</v>
      </c>
      <c r="AS17" s="201">
        <v>683</v>
      </c>
      <c r="AT17" s="813"/>
      <c r="AU17" s="813"/>
      <c r="AV17" s="813"/>
      <c r="AW17" s="811"/>
      <c r="AX17" s="201"/>
      <c r="AY17" s="364"/>
      <c r="AZ17" s="364"/>
      <c r="BA17" s="364"/>
      <c r="BB17" s="148"/>
      <c r="BD17" s="3"/>
      <c r="BG17" s="3"/>
    </row>
    <row r="18" spans="1:59" ht="12.75" customHeight="1">
      <c r="A18" s="142"/>
      <c r="B18" s="7" t="s">
        <v>400</v>
      </c>
      <c r="C18" s="471">
        <v>-73</v>
      </c>
      <c r="D18" s="149">
        <v>-0.19518716577540107</v>
      </c>
      <c r="E18" s="592"/>
      <c r="F18" s="475"/>
      <c r="G18" s="475">
        <v>301</v>
      </c>
      <c r="H18" s="475">
        <v>345</v>
      </c>
      <c r="I18" s="219">
        <v>581</v>
      </c>
      <c r="J18" s="475">
        <v>73</v>
      </c>
      <c r="K18" s="475">
        <v>374</v>
      </c>
      <c r="L18" s="475">
        <v>409</v>
      </c>
      <c r="M18" s="219">
        <v>387</v>
      </c>
      <c r="N18" s="861">
        <v>284</v>
      </c>
      <c r="O18" s="862"/>
      <c r="P18" s="862"/>
      <c r="Q18" s="863"/>
      <c r="R18" s="862"/>
      <c r="S18" s="862"/>
      <c r="T18" s="862"/>
      <c r="U18" s="856"/>
      <c r="V18" s="465"/>
      <c r="W18" s="465"/>
      <c r="X18" s="465"/>
      <c r="Y18" s="216"/>
      <c r="Z18" s="465"/>
      <c r="AA18" s="465"/>
      <c r="AB18" s="465"/>
      <c r="AC18" s="216"/>
      <c r="AD18" s="174"/>
      <c r="AE18" s="212"/>
      <c r="AF18" s="212"/>
      <c r="AG18" s="212"/>
      <c r="AH18" s="161"/>
      <c r="AI18" s="216"/>
      <c r="AJ18" s="216"/>
      <c r="AK18" s="216"/>
      <c r="AL18" s="89"/>
      <c r="AM18" s="229">
        <v>1227</v>
      </c>
      <c r="AN18" s="396">
        <v>1170</v>
      </c>
      <c r="AO18" s="158">
        <v>57</v>
      </c>
      <c r="AP18" s="149">
        <v>0.04871794871794872</v>
      </c>
      <c r="AQ18" s="83"/>
      <c r="AR18" s="207">
        <v>1243</v>
      </c>
      <c r="AS18" s="207">
        <v>284</v>
      </c>
      <c r="AT18" s="864"/>
      <c r="AU18" s="864"/>
      <c r="AV18" s="864"/>
      <c r="AW18" s="818"/>
      <c r="AX18" s="201"/>
      <c r="AY18" s="364"/>
      <c r="AZ18" s="364"/>
      <c r="BA18" s="364"/>
      <c r="BB18" s="148"/>
      <c r="BD18" s="3"/>
      <c r="BG18" s="3"/>
    </row>
    <row r="19" spans="1:59" ht="12.75" customHeight="1">
      <c r="A19" s="8"/>
      <c r="B19" s="83" t="s">
        <v>260</v>
      </c>
      <c r="C19" s="38">
        <v>-61</v>
      </c>
      <c r="D19" s="30">
        <v>-0.006302303957020353</v>
      </c>
      <c r="E19" s="592"/>
      <c r="F19" s="465">
        <v>0</v>
      </c>
      <c r="G19" s="465">
        <v>9618</v>
      </c>
      <c r="H19" s="465">
        <v>9132</v>
      </c>
      <c r="I19" s="216">
        <v>9987</v>
      </c>
      <c r="J19" s="465">
        <v>9270</v>
      </c>
      <c r="K19" s="465">
        <v>9679</v>
      </c>
      <c r="L19" s="465">
        <v>8091</v>
      </c>
      <c r="M19" s="216">
        <v>7740</v>
      </c>
      <c r="N19" s="666">
        <v>967</v>
      </c>
      <c r="O19" s="799"/>
      <c r="P19" s="799"/>
      <c r="Q19" s="807"/>
      <c r="R19" s="799"/>
      <c r="S19" s="799"/>
      <c r="T19" s="799"/>
      <c r="U19" s="799"/>
      <c r="V19" s="465">
        <v>26203</v>
      </c>
      <c r="W19" s="465">
        <v>24376</v>
      </c>
      <c r="X19" s="465">
        <v>19368</v>
      </c>
      <c r="Y19" s="216">
        <v>18643</v>
      </c>
      <c r="Z19" s="465">
        <v>13122</v>
      </c>
      <c r="AA19" s="465">
        <v>14195</v>
      </c>
      <c r="AB19" s="465">
        <v>20116</v>
      </c>
      <c r="AC19" s="216">
        <v>26950</v>
      </c>
      <c r="AD19" s="174">
        <v>24166</v>
      </c>
      <c r="AE19" s="212">
        <v>28443</v>
      </c>
      <c r="AF19" s="212">
        <v>25351</v>
      </c>
      <c r="AG19" s="212">
        <v>37680</v>
      </c>
      <c r="AH19" s="161">
        <v>36567</v>
      </c>
      <c r="AI19" s="216">
        <v>31848</v>
      </c>
      <c r="AJ19" s="216">
        <v>24885</v>
      </c>
      <c r="AK19" s="216">
        <v>33368</v>
      </c>
      <c r="AL19" s="89"/>
      <c r="AM19" s="380">
        <v>28737</v>
      </c>
      <c r="AN19" s="380">
        <v>25510</v>
      </c>
      <c r="AO19" s="31">
        <v>3227</v>
      </c>
      <c r="AP19" s="30">
        <v>0.12649941199529596</v>
      </c>
      <c r="AQ19" s="83"/>
      <c r="AR19" s="201">
        <v>34780</v>
      </c>
      <c r="AS19" s="201">
        <v>967</v>
      </c>
      <c r="AT19" s="811"/>
      <c r="AU19" s="811"/>
      <c r="AV19" s="811"/>
      <c r="AW19" s="811"/>
      <c r="AX19" s="201">
        <v>126668</v>
      </c>
      <c r="AY19" s="364">
        <v>105283</v>
      </c>
      <c r="AZ19" s="364">
        <v>84396</v>
      </c>
      <c r="BA19" s="364">
        <v>82758</v>
      </c>
      <c r="BB19" s="148"/>
      <c r="BD19" s="3"/>
      <c r="BG19" s="3"/>
    </row>
    <row r="20" spans="1:59" ht="12.75" customHeight="1">
      <c r="A20" s="8"/>
      <c r="B20" s="227" t="s">
        <v>74</v>
      </c>
      <c r="C20" s="38">
        <v>881</v>
      </c>
      <c r="D20" s="30">
        <v>0.3393682588597843</v>
      </c>
      <c r="E20" s="592"/>
      <c r="F20" s="465"/>
      <c r="G20" s="465">
        <v>3477</v>
      </c>
      <c r="H20" s="465">
        <v>3559</v>
      </c>
      <c r="I20" s="216">
        <v>3006</v>
      </c>
      <c r="J20" s="465">
        <v>2306</v>
      </c>
      <c r="K20" s="465">
        <v>2596</v>
      </c>
      <c r="L20" s="465">
        <v>2281</v>
      </c>
      <c r="M20" s="216">
        <v>2552</v>
      </c>
      <c r="N20" s="666">
        <v>178</v>
      </c>
      <c r="O20" s="799"/>
      <c r="P20" s="799"/>
      <c r="Q20" s="807"/>
      <c r="R20" s="799"/>
      <c r="S20" s="799"/>
      <c r="T20" s="799"/>
      <c r="U20" s="799"/>
      <c r="V20" s="465">
        <v>5573</v>
      </c>
      <c r="W20" s="465">
        <v>4015</v>
      </c>
      <c r="X20" s="465">
        <v>4360</v>
      </c>
      <c r="Y20" s="216">
        <v>4246</v>
      </c>
      <c r="Z20" s="465">
        <v>4505</v>
      </c>
      <c r="AA20" s="465">
        <v>3057</v>
      </c>
      <c r="AB20" s="465">
        <v>3477</v>
      </c>
      <c r="AC20" s="216">
        <v>3781</v>
      </c>
      <c r="AD20" s="174">
        <v>4683</v>
      </c>
      <c r="AE20" s="212">
        <v>3272</v>
      </c>
      <c r="AF20" s="212">
        <v>3510</v>
      </c>
      <c r="AG20" s="212">
        <v>4049</v>
      </c>
      <c r="AH20" s="161">
        <v>4303</v>
      </c>
      <c r="AI20" s="216">
        <v>3039</v>
      </c>
      <c r="AJ20" s="216">
        <v>2854</v>
      </c>
      <c r="AK20" s="216">
        <v>3430</v>
      </c>
      <c r="AL20" s="89"/>
      <c r="AM20" s="380">
        <v>10042</v>
      </c>
      <c r="AN20" s="213">
        <v>7429</v>
      </c>
      <c r="AO20" s="31">
        <v>2613</v>
      </c>
      <c r="AP20" s="30">
        <v>0.35172970790146724</v>
      </c>
      <c r="AQ20" s="83"/>
      <c r="AR20" s="201">
        <v>9735</v>
      </c>
      <c r="AS20" s="201">
        <v>178</v>
      </c>
      <c r="AT20" s="811"/>
      <c r="AU20" s="811"/>
      <c r="AV20" s="811"/>
      <c r="AW20" s="811"/>
      <c r="AX20" s="201">
        <v>13626</v>
      </c>
      <c r="AY20" s="364">
        <v>13053</v>
      </c>
      <c r="AZ20" s="364">
        <v>11158</v>
      </c>
      <c r="BA20" s="364">
        <v>10157</v>
      </c>
      <c r="BB20" s="148"/>
      <c r="BD20" s="3"/>
      <c r="BG20" s="3"/>
    </row>
    <row r="21" spans="1:59" ht="12.75" customHeight="1">
      <c r="A21" s="8"/>
      <c r="B21" s="227" t="s">
        <v>75</v>
      </c>
      <c r="C21" s="38">
        <v>-343</v>
      </c>
      <c r="D21" s="30">
        <v>-0.2654798761609907</v>
      </c>
      <c r="E21" s="592"/>
      <c r="F21" s="465"/>
      <c r="G21" s="465">
        <v>949</v>
      </c>
      <c r="H21" s="465">
        <v>813</v>
      </c>
      <c r="I21" s="216">
        <v>1007</v>
      </c>
      <c r="J21" s="465">
        <v>1284</v>
      </c>
      <c r="K21" s="465">
        <v>1292</v>
      </c>
      <c r="L21" s="465">
        <v>958</v>
      </c>
      <c r="M21" s="216">
        <v>823</v>
      </c>
      <c r="N21" s="666">
        <v>87</v>
      </c>
      <c r="O21" s="799"/>
      <c r="P21" s="799"/>
      <c r="Q21" s="807"/>
      <c r="R21" s="799"/>
      <c r="S21" s="799"/>
      <c r="T21" s="799"/>
      <c r="U21" s="799"/>
      <c r="V21" s="465">
        <v>2320</v>
      </c>
      <c r="W21" s="465">
        <v>1910</v>
      </c>
      <c r="X21" s="465">
        <v>2120</v>
      </c>
      <c r="Y21" s="216">
        <v>2156</v>
      </c>
      <c r="Z21" s="465">
        <v>1697</v>
      </c>
      <c r="AA21" s="465">
        <v>1856</v>
      </c>
      <c r="AB21" s="465">
        <v>1606</v>
      </c>
      <c r="AC21" s="216">
        <v>1849</v>
      </c>
      <c r="AD21" s="174">
        <v>1694</v>
      </c>
      <c r="AE21" s="212">
        <v>2331</v>
      </c>
      <c r="AF21" s="212">
        <v>2158</v>
      </c>
      <c r="AG21" s="212">
        <v>2399</v>
      </c>
      <c r="AH21" s="161">
        <v>2477</v>
      </c>
      <c r="AI21" s="216">
        <v>2338</v>
      </c>
      <c r="AJ21" s="216">
        <v>2276</v>
      </c>
      <c r="AK21" s="216">
        <v>3066</v>
      </c>
      <c r="AL21" s="89"/>
      <c r="AM21" s="380">
        <v>2769</v>
      </c>
      <c r="AN21" s="213">
        <v>3073</v>
      </c>
      <c r="AO21" s="31">
        <v>-304</v>
      </c>
      <c r="AP21" s="30">
        <v>-0.09892613081679141</v>
      </c>
      <c r="AQ21" s="83"/>
      <c r="AR21" s="201">
        <v>4357</v>
      </c>
      <c r="AS21" s="201">
        <v>87</v>
      </c>
      <c r="AT21" s="811"/>
      <c r="AU21" s="811"/>
      <c r="AV21" s="811"/>
      <c r="AW21" s="811"/>
      <c r="AX21" s="201">
        <v>10157</v>
      </c>
      <c r="AY21" s="364">
        <v>9013</v>
      </c>
      <c r="AZ21" s="364">
        <v>8802</v>
      </c>
      <c r="BA21" s="364">
        <v>1308</v>
      </c>
      <c r="BB21" s="148"/>
      <c r="BD21" s="3"/>
      <c r="BG21" s="3"/>
    </row>
    <row r="22" spans="1:59" ht="12.75" customHeight="1">
      <c r="A22" s="8"/>
      <c r="B22" s="227" t="s">
        <v>76</v>
      </c>
      <c r="C22" s="38">
        <v>328</v>
      </c>
      <c r="D22" s="30">
        <v>0.5963636363636363</v>
      </c>
      <c r="E22" s="592"/>
      <c r="F22" s="465"/>
      <c r="G22" s="465">
        <v>878</v>
      </c>
      <c r="H22" s="465">
        <v>830</v>
      </c>
      <c r="I22" s="216">
        <v>837</v>
      </c>
      <c r="J22" s="465">
        <v>591</v>
      </c>
      <c r="K22" s="465">
        <v>550</v>
      </c>
      <c r="L22" s="465">
        <v>749</v>
      </c>
      <c r="M22" s="216">
        <v>848</v>
      </c>
      <c r="N22" s="666">
        <v>42</v>
      </c>
      <c r="O22" s="799"/>
      <c r="P22" s="799"/>
      <c r="Q22" s="807"/>
      <c r="R22" s="799"/>
      <c r="S22" s="799"/>
      <c r="T22" s="799"/>
      <c r="U22" s="799"/>
      <c r="V22" s="465">
        <v>2016</v>
      </c>
      <c r="W22" s="465">
        <v>2074</v>
      </c>
      <c r="X22" s="465">
        <v>2075</v>
      </c>
      <c r="Y22" s="216">
        <v>1951</v>
      </c>
      <c r="Z22" s="465">
        <v>1822</v>
      </c>
      <c r="AA22" s="465">
        <v>1632</v>
      </c>
      <c r="AB22" s="465">
        <v>1702</v>
      </c>
      <c r="AC22" s="216">
        <v>1632</v>
      </c>
      <c r="AD22" s="174">
        <v>1630</v>
      </c>
      <c r="AE22" s="212">
        <v>1605</v>
      </c>
      <c r="AF22" s="212">
        <v>1605</v>
      </c>
      <c r="AG22" s="212">
        <v>1535</v>
      </c>
      <c r="AH22" s="161">
        <v>1555</v>
      </c>
      <c r="AI22" s="216">
        <v>1528</v>
      </c>
      <c r="AJ22" s="216">
        <v>1534</v>
      </c>
      <c r="AK22" s="216">
        <v>1536</v>
      </c>
      <c r="AL22" s="89"/>
      <c r="AM22" s="380">
        <v>2545</v>
      </c>
      <c r="AN22" s="213">
        <v>2147</v>
      </c>
      <c r="AO22" s="31">
        <v>398</v>
      </c>
      <c r="AP22" s="30">
        <v>0.18537494177922684</v>
      </c>
      <c r="AQ22" s="83"/>
      <c r="AR22" s="201">
        <v>2738</v>
      </c>
      <c r="AS22" s="201">
        <v>42</v>
      </c>
      <c r="AT22" s="811"/>
      <c r="AU22" s="811"/>
      <c r="AV22" s="811"/>
      <c r="AW22" s="811"/>
      <c r="AX22" s="201">
        <v>6153</v>
      </c>
      <c r="AY22" s="364">
        <v>5464</v>
      </c>
      <c r="AZ22" s="364">
        <v>4653</v>
      </c>
      <c r="BA22" s="364">
        <v>4742</v>
      </c>
      <c r="BB22" s="148"/>
      <c r="BD22" s="3"/>
      <c r="BG22" s="3"/>
    </row>
    <row r="23" spans="1:59" ht="12.75" customHeight="1">
      <c r="A23" s="8"/>
      <c r="B23" s="227" t="s">
        <v>77</v>
      </c>
      <c r="C23" s="38">
        <v>370</v>
      </c>
      <c r="D23" s="30">
        <v>0.2594670406732118</v>
      </c>
      <c r="E23" s="592"/>
      <c r="F23" s="465"/>
      <c r="G23" s="465">
        <v>1796</v>
      </c>
      <c r="H23" s="465">
        <v>1706</v>
      </c>
      <c r="I23" s="216">
        <v>1470</v>
      </c>
      <c r="J23" s="465">
        <v>1659</v>
      </c>
      <c r="K23" s="465">
        <v>1426</v>
      </c>
      <c r="L23" s="465">
        <v>1229</v>
      </c>
      <c r="M23" s="216">
        <v>1455</v>
      </c>
      <c r="N23" s="666">
        <v>117</v>
      </c>
      <c r="O23" s="799"/>
      <c r="P23" s="799"/>
      <c r="Q23" s="807"/>
      <c r="R23" s="799"/>
      <c r="S23" s="799"/>
      <c r="T23" s="799"/>
      <c r="U23" s="799"/>
      <c r="V23" s="465">
        <v>1426</v>
      </c>
      <c r="W23" s="465">
        <v>1660</v>
      </c>
      <c r="X23" s="465">
        <v>1494</v>
      </c>
      <c r="Y23" s="216">
        <v>1536</v>
      </c>
      <c r="Z23" s="465">
        <v>1630</v>
      </c>
      <c r="AA23" s="465">
        <v>1590</v>
      </c>
      <c r="AB23" s="465">
        <v>1556</v>
      </c>
      <c r="AC23" s="216">
        <v>1639</v>
      </c>
      <c r="AD23" s="174">
        <v>1596</v>
      </c>
      <c r="AE23" s="212">
        <v>1544</v>
      </c>
      <c r="AF23" s="212">
        <v>1573</v>
      </c>
      <c r="AG23" s="212">
        <v>1670</v>
      </c>
      <c r="AH23" s="161">
        <v>1639</v>
      </c>
      <c r="AI23" s="216">
        <v>1526</v>
      </c>
      <c r="AJ23" s="216">
        <v>1571</v>
      </c>
      <c r="AK23" s="216">
        <v>1602</v>
      </c>
      <c r="AL23" s="89"/>
      <c r="AM23" s="380">
        <v>4972</v>
      </c>
      <c r="AN23" s="213">
        <v>4110</v>
      </c>
      <c r="AO23" s="31">
        <v>862</v>
      </c>
      <c r="AP23" s="30">
        <v>0.2097323600973236</v>
      </c>
      <c r="AQ23" s="83"/>
      <c r="AR23" s="201">
        <v>5769</v>
      </c>
      <c r="AS23" s="201">
        <v>117</v>
      </c>
      <c r="AT23" s="811"/>
      <c r="AU23" s="811"/>
      <c r="AV23" s="811"/>
      <c r="AW23" s="811"/>
      <c r="AX23" s="201">
        <v>6338</v>
      </c>
      <c r="AY23" s="364">
        <v>6066</v>
      </c>
      <c r="AZ23" s="364">
        <v>5819</v>
      </c>
      <c r="BA23" s="364">
        <v>5491</v>
      </c>
      <c r="BB23" s="148"/>
      <c r="BD23" s="3"/>
      <c r="BG23" s="3"/>
    </row>
    <row r="24" spans="1:59" ht="12.75" customHeight="1">
      <c r="A24" s="8"/>
      <c r="B24" s="227" t="s">
        <v>72</v>
      </c>
      <c r="C24" s="38">
        <v>47</v>
      </c>
      <c r="D24" s="30">
        <v>1.119047619047619</v>
      </c>
      <c r="E24" s="592"/>
      <c r="F24" s="465"/>
      <c r="G24" s="465">
        <v>89</v>
      </c>
      <c r="H24" s="465">
        <v>78</v>
      </c>
      <c r="I24" s="216">
        <v>96</v>
      </c>
      <c r="J24" s="465">
        <v>12</v>
      </c>
      <c r="K24" s="465">
        <v>42</v>
      </c>
      <c r="L24" s="465">
        <v>9</v>
      </c>
      <c r="M24" s="216">
        <v>37</v>
      </c>
      <c r="N24" s="666">
        <v>1</v>
      </c>
      <c r="O24" s="799"/>
      <c r="P24" s="799"/>
      <c r="Q24" s="807"/>
      <c r="R24" s="799"/>
      <c r="S24" s="799"/>
      <c r="T24" s="799"/>
      <c r="U24" s="799"/>
      <c r="V24" s="465">
        <v>44</v>
      </c>
      <c r="W24" s="465">
        <v>51</v>
      </c>
      <c r="X24" s="465">
        <v>104</v>
      </c>
      <c r="Y24" s="216">
        <v>243</v>
      </c>
      <c r="Z24" s="465">
        <v>671</v>
      </c>
      <c r="AA24" s="465">
        <v>1758</v>
      </c>
      <c r="AB24" s="465">
        <v>2459</v>
      </c>
      <c r="AC24" s="216">
        <v>2915</v>
      </c>
      <c r="AD24" s="174">
        <v>4124</v>
      </c>
      <c r="AE24" s="212">
        <v>5305</v>
      </c>
      <c r="AF24" s="212">
        <v>5435</v>
      </c>
      <c r="AG24" s="212">
        <v>5060</v>
      </c>
      <c r="AH24" s="161">
        <v>4659</v>
      </c>
      <c r="AI24" s="216">
        <v>4412</v>
      </c>
      <c r="AJ24" s="216">
        <v>4434</v>
      </c>
      <c r="AK24" s="216">
        <v>4246</v>
      </c>
      <c r="AL24" s="89"/>
      <c r="AM24" s="380">
        <v>263</v>
      </c>
      <c r="AN24" s="213">
        <v>88</v>
      </c>
      <c r="AO24" s="31">
        <v>175</v>
      </c>
      <c r="AP24" s="30">
        <v>1.9886363636363635</v>
      </c>
      <c r="AQ24" s="83"/>
      <c r="AR24" s="201">
        <v>100</v>
      </c>
      <c r="AS24" s="201">
        <v>1</v>
      </c>
      <c r="AT24" s="811"/>
      <c r="AU24" s="811"/>
      <c r="AV24" s="811"/>
      <c r="AW24" s="811"/>
      <c r="AX24" s="201">
        <v>17751</v>
      </c>
      <c r="AY24" s="364">
        <v>7194</v>
      </c>
      <c r="AZ24" s="364">
        <v>3711</v>
      </c>
      <c r="BA24" s="364">
        <v>0</v>
      </c>
      <c r="BB24" s="148"/>
      <c r="BD24" s="3"/>
      <c r="BG24" s="3"/>
    </row>
    <row r="25" spans="1:59" ht="12.75" customHeight="1">
      <c r="A25" s="8"/>
      <c r="B25" s="227" t="s">
        <v>101</v>
      </c>
      <c r="C25" s="38">
        <v>199</v>
      </c>
      <c r="D25" s="30">
        <v>0.06928969359331476</v>
      </c>
      <c r="E25" s="592"/>
      <c r="F25" s="465"/>
      <c r="G25" s="465">
        <v>3071</v>
      </c>
      <c r="H25" s="465">
        <v>2746</v>
      </c>
      <c r="I25" s="216">
        <v>2718</v>
      </c>
      <c r="J25" s="465">
        <v>2479</v>
      </c>
      <c r="K25" s="465">
        <v>2872</v>
      </c>
      <c r="L25" s="465">
        <v>2484</v>
      </c>
      <c r="M25" s="216">
        <v>2628</v>
      </c>
      <c r="N25" s="666">
        <v>244</v>
      </c>
      <c r="O25" s="799"/>
      <c r="P25" s="799"/>
      <c r="Q25" s="807"/>
      <c r="R25" s="799"/>
      <c r="S25" s="799"/>
      <c r="T25" s="799"/>
      <c r="U25" s="799"/>
      <c r="V25" s="465">
        <v>6030</v>
      </c>
      <c r="W25" s="465">
        <v>4108</v>
      </c>
      <c r="X25" s="465">
        <v>2461</v>
      </c>
      <c r="Y25" s="216">
        <v>3886</v>
      </c>
      <c r="Z25" s="465">
        <v>2268</v>
      </c>
      <c r="AA25" s="465">
        <v>7826</v>
      </c>
      <c r="AB25" s="465">
        <v>3206</v>
      </c>
      <c r="AC25" s="216">
        <v>3942</v>
      </c>
      <c r="AD25" s="174">
        <v>3477</v>
      </c>
      <c r="AE25" s="212">
        <v>3587</v>
      </c>
      <c r="AF25" s="212">
        <v>2594</v>
      </c>
      <c r="AG25" s="212">
        <v>2953</v>
      </c>
      <c r="AH25" s="161">
        <v>2341</v>
      </c>
      <c r="AI25" s="216">
        <v>3444</v>
      </c>
      <c r="AJ25" s="216">
        <v>1855</v>
      </c>
      <c r="AK25" s="216">
        <v>6038</v>
      </c>
      <c r="AL25" s="89"/>
      <c r="AM25" s="380">
        <v>8535</v>
      </c>
      <c r="AN25" s="213">
        <v>7984</v>
      </c>
      <c r="AO25" s="31">
        <v>551</v>
      </c>
      <c r="AP25" s="30">
        <v>0.06901302605210421</v>
      </c>
      <c r="AQ25" s="83"/>
      <c r="AR25" s="201">
        <v>10463</v>
      </c>
      <c r="AS25" s="201">
        <v>244</v>
      </c>
      <c r="AT25" s="811"/>
      <c r="AU25" s="811"/>
      <c r="AV25" s="811"/>
      <c r="AW25" s="811"/>
      <c r="AX25" s="201">
        <v>13678</v>
      </c>
      <c r="AY25" s="364">
        <v>12162</v>
      </c>
      <c r="AZ25" s="364">
        <v>5080</v>
      </c>
      <c r="BA25" s="364">
        <v>9626</v>
      </c>
      <c r="BB25" s="148"/>
      <c r="BD25" s="3"/>
      <c r="BE25" s="3"/>
      <c r="BF25" s="3"/>
      <c r="BG25" s="3"/>
    </row>
    <row r="26" spans="1:59" ht="12.75" customHeight="1">
      <c r="A26" s="8"/>
      <c r="B26" s="227" t="s">
        <v>79</v>
      </c>
      <c r="C26" s="38">
        <v>305</v>
      </c>
      <c r="D26" s="30">
        <v>0.1683222958057395</v>
      </c>
      <c r="E26" s="592"/>
      <c r="F26" s="465"/>
      <c r="G26" s="465">
        <v>2117</v>
      </c>
      <c r="H26" s="465">
        <v>1907</v>
      </c>
      <c r="I26" s="216">
        <v>2036</v>
      </c>
      <c r="J26" s="465">
        <v>1742</v>
      </c>
      <c r="K26" s="465">
        <v>1812</v>
      </c>
      <c r="L26" s="465">
        <v>1688</v>
      </c>
      <c r="M26" s="216">
        <v>1477</v>
      </c>
      <c r="N26" s="666">
        <v>13</v>
      </c>
      <c r="O26" s="799"/>
      <c r="P26" s="799"/>
      <c r="Q26" s="807"/>
      <c r="R26" s="799"/>
      <c r="S26" s="799"/>
      <c r="T26" s="799"/>
      <c r="U26" s="799"/>
      <c r="V26" s="465">
        <v>649</v>
      </c>
      <c r="W26" s="465">
        <v>637</v>
      </c>
      <c r="X26" s="465">
        <v>618</v>
      </c>
      <c r="Y26" s="216">
        <v>602</v>
      </c>
      <c r="Z26" s="465">
        <v>655</v>
      </c>
      <c r="AA26" s="465">
        <v>463</v>
      </c>
      <c r="AB26" s="465">
        <v>411</v>
      </c>
      <c r="AC26" s="216">
        <v>409</v>
      </c>
      <c r="AD26" s="174">
        <v>436</v>
      </c>
      <c r="AE26" s="212">
        <v>495</v>
      </c>
      <c r="AF26" s="212">
        <v>472</v>
      </c>
      <c r="AG26" s="212">
        <v>430</v>
      </c>
      <c r="AH26" s="161">
        <v>438</v>
      </c>
      <c r="AI26" s="216">
        <v>380</v>
      </c>
      <c r="AJ26" s="216">
        <v>420</v>
      </c>
      <c r="AK26" s="216">
        <v>410</v>
      </c>
      <c r="AL26" s="89"/>
      <c r="AM26" s="380">
        <v>6060</v>
      </c>
      <c r="AN26" s="213">
        <v>4977</v>
      </c>
      <c r="AO26" s="31">
        <v>1083</v>
      </c>
      <c r="AP26" s="30">
        <v>0.21760096443640747</v>
      </c>
      <c r="AQ26" s="83"/>
      <c r="AR26" s="201">
        <v>6719</v>
      </c>
      <c r="AS26" s="201">
        <v>13</v>
      </c>
      <c r="AT26" s="811"/>
      <c r="AU26" s="811"/>
      <c r="AV26" s="811"/>
      <c r="AW26" s="811"/>
      <c r="AX26" s="201">
        <v>1648</v>
      </c>
      <c r="AY26" s="364">
        <v>1439</v>
      </c>
      <c r="AZ26" s="364">
        <v>1087</v>
      </c>
      <c r="BA26" s="364">
        <v>1295</v>
      </c>
      <c r="BB26" s="148"/>
      <c r="BD26" s="3"/>
      <c r="BE26" s="3"/>
      <c r="BF26" s="3"/>
      <c r="BG26" s="3"/>
    </row>
    <row r="27" spans="1:59" ht="12.75" customHeight="1">
      <c r="A27" s="7"/>
      <c r="B27" s="227" t="s">
        <v>80</v>
      </c>
      <c r="C27" s="38">
        <v>-712</v>
      </c>
      <c r="D27" s="30">
        <v>-0.35546679980029955</v>
      </c>
      <c r="E27" s="592"/>
      <c r="F27" s="213"/>
      <c r="G27" s="213">
        <v>1291</v>
      </c>
      <c r="H27" s="213">
        <v>1371</v>
      </c>
      <c r="I27" s="168">
        <v>969</v>
      </c>
      <c r="J27" s="213">
        <v>943</v>
      </c>
      <c r="K27" s="213">
        <v>2003</v>
      </c>
      <c r="L27" s="213">
        <v>0</v>
      </c>
      <c r="M27" s="168">
        <v>0</v>
      </c>
      <c r="N27" s="621">
        <v>0</v>
      </c>
      <c r="O27" s="799"/>
      <c r="P27" s="799"/>
      <c r="Q27" s="807"/>
      <c r="R27" s="799"/>
      <c r="S27" s="799"/>
      <c r="T27" s="799"/>
      <c r="U27" s="799"/>
      <c r="V27" s="465">
        <v>2574</v>
      </c>
      <c r="W27" s="465">
        <v>3216</v>
      </c>
      <c r="X27" s="465">
        <v>2613</v>
      </c>
      <c r="Y27" s="216">
        <v>1905</v>
      </c>
      <c r="Z27" s="465">
        <v>2597</v>
      </c>
      <c r="AA27" s="465">
        <v>2312</v>
      </c>
      <c r="AB27" s="465">
        <v>1378</v>
      </c>
      <c r="AC27" s="216">
        <v>1566</v>
      </c>
      <c r="AD27" s="174">
        <v>1897</v>
      </c>
      <c r="AE27" s="212">
        <v>1550</v>
      </c>
      <c r="AF27" s="212">
        <v>1341</v>
      </c>
      <c r="AG27" s="212">
        <v>1372</v>
      </c>
      <c r="AH27" s="161">
        <v>1370</v>
      </c>
      <c r="AI27" s="216">
        <v>1663</v>
      </c>
      <c r="AJ27" s="216">
        <v>1517</v>
      </c>
      <c r="AK27" s="216">
        <v>1521</v>
      </c>
      <c r="AL27" s="89"/>
      <c r="AM27" s="380">
        <v>3631</v>
      </c>
      <c r="AN27" s="213">
        <v>2003</v>
      </c>
      <c r="AO27" s="31">
        <v>1628</v>
      </c>
      <c r="AP27" s="30">
        <v>0.8127808287568647</v>
      </c>
      <c r="AQ27" s="83"/>
      <c r="AR27" s="302">
        <v>2946</v>
      </c>
      <c r="AS27" s="848">
        <v>0</v>
      </c>
      <c r="AT27" s="811"/>
      <c r="AU27" s="811"/>
      <c r="AV27" s="811"/>
      <c r="AW27" s="811"/>
      <c r="AX27" s="201">
        <v>6071</v>
      </c>
      <c r="AY27" s="364">
        <v>4302</v>
      </c>
      <c r="AZ27" s="364">
        <v>2798</v>
      </c>
      <c r="BA27" s="364">
        <v>3261</v>
      </c>
      <c r="BB27" s="148"/>
      <c r="BD27" s="3"/>
      <c r="BE27" s="3"/>
      <c r="BF27" s="3"/>
      <c r="BG27" s="3"/>
    </row>
    <row r="28" spans="1:59" ht="12.75" customHeight="1">
      <c r="A28" s="7"/>
      <c r="B28" s="227" t="s">
        <v>218</v>
      </c>
      <c r="C28" s="38">
        <v>-431</v>
      </c>
      <c r="D28" s="30">
        <v>-1</v>
      </c>
      <c r="E28" s="592"/>
      <c r="F28" s="213"/>
      <c r="G28" s="213">
        <v>0</v>
      </c>
      <c r="H28" s="213">
        <v>0</v>
      </c>
      <c r="I28" s="168">
        <v>0</v>
      </c>
      <c r="J28" s="213">
        <v>0</v>
      </c>
      <c r="K28" s="213">
        <v>431</v>
      </c>
      <c r="L28" s="213">
        <v>900</v>
      </c>
      <c r="M28" s="168">
        <v>0</v>
      </c>
      <c r="N28" s="666">
        <v>4077</v>
      </c>
      <c r="O28" s="799"/>
      <c r="P28" s="799"/>
      <c r="Q28" s="807"/>
      <c r="R28" s="799"/>
      <c r="S28" s="799"/>
      <c r="T28" s="799"/>
      <c r="U28" s="799"/>
      <c r="V28" s="465"/>
      <c r="W28" s="465"/>
      <c r="X28" s="465"/>
      <c r="Y28" s="216"/>
      <c r="Z28" s="465"/>
      <c r="AA28" s="465"/>
      <c r="AB28" s="465"/>
      <c r="AC28" s="216"/>
      <c r="AD28" s="174"/>
      <c r="AE28" s="212"/>
      <c r="AF28" s="212"/>
      <c r="AG28" s="212"/>
      <c r="AH28" s="161"/>
      <c r="AI28" s="216"/>
      <c r="AJ28" s="216"/>
      <c r="AK28" s="216"/>
      <c r="AL28" s="89"/>
      <c r="AM28" s="213">
        <v>0</v>
      </c>
      <c r="AN28" s="213">
        <v>1331</v>
      </c>
      <c r="AO28" s="31">
        <v>-1331</v>
      </c>
      <c r="AP28" s="30">
        <v>-1</v>
      </c>
      <c r="AQ28" s="83"/>
      <c r="AR28" s="201">
        <v>1331</v>
      </c>
      <c r="AS28" s="201">
        <v>4077</v>
      </c>
      <c r="AT28" s="811"/>
      <c r="AU28" s="811"/>
      <c r="AV28" s="811"/>
      <c r="AW28" s="811"/>
      <c r="AX28" s="201"/>
      <c r="AY28" s="364"/>
      <c r="AZ28" s="364"/>
      <c r="BA28" s="364"/>
      <c r="BB28" s="148"/>
      <c r="BD28" s="3"/>
      <c r="BE28" s="3"/>
      <c r="BF28" s="3"/>
      <c r="BG28" s="3"/>
    </row>
    <row r="29" spans="1:59" ht="12.75" customHeight="1">
      <c r="A29" s="7"/>
      <c r="B29" s="7" t="s">
        <v>193</v>
      </c>
      <c r="C29" s="38">
        <v>-1034</v>
      </c>
      <c r="D29" s="30">
        <v>-1</v>
      </c>
      <c r="E29" s="592"/>
      <c r="F29" s="213"/>
      <c r="G29" s="213">
        <v>0</v>
      </c>
      <c r="H29" s="213">
        <v>0</v>
      </c>
      <c r="I29" s="168">
        <v>0</v>
      </c>
      <c r="J29" s="213">
        <v>884</v>
      </c>
      <c r="K29" s="213">
        <v>1034</v>
      </c>
      <c r="L29" s="213">
        <v>0</v>
      </c>
      <c r="M29" s="168">
        <v>0</v>
      </c>
      <c r="N29" s="621">
        <v>0</v>
      </c>
      <c r="O29" s="799"/>
      <c r="P29" s="799"/>
      <c r="Q29" s="807"/>
      <c r="R29" s="799"/>
      <c r="S29" s="799"/>
      <c r="T29" s="799"/>
      <c r="U29" s="799"/>
      <c r="V29" s="213">
        <v>0</v>
      </c>
      <c r="W29" s="213">
        <v>0</v>
      </c>
      <c r="X29" s="213">
        <v>0</v>
      </c>
      <c r="Y29" s="168">
        <v>0</v>
      </c>
      <c r="Z29" s="213">
        <v>0</v>
      </c>
      <c r="AA29" s="213">
        <v>5347</v>
      </c>
      <c r="AB29" s="213">
        <v>0</v>
      </c>
      <c r="AC29" s="30">
        <v>0</v>
      </c>
      <c r="AD29" s="175">
        <v>54200</v>
      </c>
      <c r="AE29" s="213">
        <v>0</v>
      </c>
      <c r="AF29" s="213">
        <v>0</v>
      </c>
      <c r="AG29" s="168">
        <v>0</v>
      </c>
      <c r="AH29" s="177">
        <v>0</v>
      </c>
      <c r="AI29" s="168">
        <v>0</v>
      </c>
      <c r="AJ29" s="168">
        <v>0</v>
      </c>
      <c r="AK29" s="168">
        <v>0</v>
      </c>
      <c r="AL29" s="89"/>
      <c r="AM29" s="213">
        <v>0</v>
      </c>
      <c r="AN29" s="213">
        <v>1034</v>
      </c>
      <c r="AO29" s="31">
        <v>-1034</v>
      </c>
      <c r="AP29" s="30">
        <v>-1</v>
      </c>
      <c r="AQ29" s="83"/>
      <c r="AR29" s="204">
        <v>1918</v>
      </c>
      <c r="AS29" s="204">
        <v>0</v>
      </c>
      <c r="AT29" s="813"/>
      <c r="AU29" s="813"/>
      <c r="AV29" s="811"/>
      <c r="AW29" s="813"/>
      <c r="AX29" s="204">
        <v>0</v>
      </c>
      <c r="AY29" s="364">
        <v>0</v>
      </c>
      <c r="AZ29" s="364">
        <v>0</v>
      </c>
      <c r="BA29" s="364">
        <v>0</v>
      </c>
      <c r="BB29" s="148"/>
      <c r="BD29" s="214"/>
      <c r="BE29" s="214"/>
      <c r="BF29" s="3"/>
      <c r="BG29" s="3"/>
    </row>
    <row r="30" spans="1:59" ht="12.75" customHeight="1" hidden="1">
      <c r="A30" s="7"/>
      <c r="B30" s="227"/>
      <c r="C30" s="38"/>
      <c r="D30" s="30" t="e">
        <v>#DIV/0!</v>
      </c>
      <c r="E30" s="592"/>
      <c r="F30" s="213"/>
      <c r="G30" s="213"/>
      <c r="H30" s="213"/>
      <c r="I30" s="168"/>
      <c r="J30" s="213"/>
      <c r="K30" s="213"/>
      <c r="L30" s="213"/>
      <c r="M30" s="168"/>
      <c r="N30" s="621"/>
      <c r="O30" s="799"/>
      <c r="P30" s="799"/>
      <c r="Q30" s="807"/>
      <c r="R30" s="799"/>
      <c r="S30" s="799"/>
      <c r="T30" s="799"/>
      <c r="U30" s="799"/>
      <c r="V30" s="465"/>
      <c r="W30" s="465"/>
      <c r="X30" s="465"/>
      <c r="Y30" s="216"/>
      <c r="Z30" s="465"/>
      <c r="AA30" s="465"/>
      <c r="AB30" s="465"/>
      <c r="AC30" s="216"/>
      <c r="AD30" s="174"/>
      <c r="AE30" s="212"/>
      <c r="AF30" s="212"/>
      <c r="AG30" s="212"/>
      <c r="AH30" s="161"/>
      <c r="AI30" s="216"/>
      <c r="AJ30" s="216"/>
      <c r="AK30" s="216"/>
      <c r="AL30" s="89"/>
      <c r="AM30" s="213"/>
      <c r="AN30" s="213"/>
      <c r="AO30" s="31"/>
      <c r="AP30" s="30" t="e">
        <v>#DIV/0!</v>
      </c>
      <c r="AQ30" s="83"/>
      <c r="AR30" s="201"/>
      <c r="AS30" s="201"/>
      <c r="AT30" s="811"/>
      <c r="AU30" s="811"/>
      <c r="AV30" s="811"/>
      <c r="AW30" s="811"/>
      <c r="AX30" s="201"/>
      <c r="AY30" s="364"/>
      <c r="AZ30" s="364"/>
      <c r="BA30" s="364"/>
      <c r="BB30" s="148"/>
      <c r="BD30" s="3"/>
      <c r="BE30" s="3"/>
      <c r="BF30" s="3"/>
      <c r="BG30" s="3"/>
    </row>
    <row r="31" spans="1:59" ht="12.75" customHeight="1">
      <c r="A31" s="8"/>
      <c r="C31" s="169">
        <v>-451</v>
      </c>
      <c r="D31" s="170">
        <v>-0.018999873615031384</v>
      </c>
      <c r="E31" s="592"/>
      <c r="F31" s="473">
        <v>0</v>
      </c>
      <c r="G31" s="473">
        <v>23286</v>
      </c>
      <c r="H31" s="473">
        <v>22142</v>
      </c>
      <c r="I31" s="221">
        <v>22126</v>
      </c>
      <c r="J31" s="473">
        <v>21170</v>
      </c>
      <c r="K31" s="473">
        <v>23737</v>
      </c>
      <c r="L31" s="473">
        <v>18389</v>
      </c>
      <c r="M31" s="221">
        <v>17560</v>
      </c>
      <c r="N31" s="797">
        <v>5726</v>
      </c>
      <c r="O31" s="801"/>
      <c r="P31" s="801"/>
      <c r="Q31" s="802"/>
      <c r="R31" s="801"/>
      <c r="S31" s="801"/>
      <c r="T31" s="801"/>
      <c r="U31" s="802"/>
      <c r="V31" s="473">
        <v>46835</v>
      </c>
      <c r="W31" s="473">
        <v>42047</v>
      </c>
      <c r="X31" s="473">
        <v>35213</v>
      </c>
      <c r="Y31" s="221">
        <v>35168</v>
      </c>
      <c r="Z31" s="473">
        <v>28967</v>
      </c>
      <c r="AA31" s="473">
        <v>40216</v>
      </c>
      <c r="AB31" s="473">
        <v>35911</v>
      </c>
      <c r="AC31" s="221">
        <v>44683</v>
      </c>
      <c r="AD31" s="178">
        <v>98603</v>
      </c>
      <c r="AE31" s="220">
        <v>48132</v>
      </c>
      <c r="AF31" s="220">
        <v>44039</v>
      </c>
      <c r="AG31" s="220">
        <v>57148</v>
      </c>
      <c r="AH31" s="171">
        <v>55349</v>
      </c>
      <c r="AI31" s="221">
        <v>50178</v>
      </c>
      <c r="AJ31" s="221">
        <v>41346</v>
      </c>
      <c r="AK31" s="221">
        <v>55217</v>
      </c>
      <c r="AL31" s="89"/>
      <c r="AM31" s="473">
        <v>67554</v>
      </c>
      <c r="AN31" s="841">
        <v>59686</v>
      </c>
      <c r="AO31" s="389">
        <v>7868</v>
      </c>
      <c r="AP31" s="170">
        <v>0.13182320812250778</v>
      </c>
      <c r="AQ31" s="89"/>
      <c r="AR31" s="221">
        <v>80856</v>
      </c>
      <c r="AS31" s="221">
        <v>5726</v>
      </c>
      <c r="AT31" s="802"/>
      <c r="AU31" s="814"/>
      <c r="AV31" s="812"/>
      <c r="AW31" s="812"/>
      <c r="AX31" s="202">
        <v>202090</v>
      </c>
      <c r="AY31" s="365">
        <v>163976</v>
      </c>
      <c r="AZ31" s="365">
        <v>127504</v>
      </c>
      <c r="BA31" s="365">
        <v>118638</v>
      </c>
      <c r="BB31" s="148"/>
      <c r="BD31" s="3"/>
      <c r="BE31" s="3"/>
      <c r="BF31" s="3"/>
      <c r="BG31" s="3"/>
    </row>
    <row r="32" spans="1:59" s="96" customFormat="1" ht="13.5" thickBot="1">
      <c r="A32" s="1443" t="s">
        <v>263</v>
      </c>
      <c r="B32" s="1444"/>
      <c r="C32" s="38">
        <v>2677</v>
      </c>
      <c r="D32" s="149">
        <v>2.537440758293839</v>
      </c>
      <c r="E32" s="592"/>
      <c r="F32" s="212">
        <v>0</v>
      </c>
      <c r="G32" s="212">
        <v>3732</v>
      </c>
      <c r="H32" s="212">
        <v>3688</v>
      </c>
      <c r="I32" s="225">
        <v>4852</v>
      </c>
      <c r="J32" s="212">
        <v>5536</v>
      </c>
      <c r="K32" s="488">
        <v>1055</v>
      </c>
      <c r="L32" s="488">
        <v>2283</v>
      </c>
      <c r="M32" s="1358">
        <v>2027</v>
      </c>
      <c r="N32" s="1336">
        <v>-3739</v>
      </c>
      <c r="O32" s="808"/>
      <c r="P32" s="808"/>
      <c r="Q32" s="802"/>
      <c r="R32" s="808"/>
      <c r="S32" s="808"/>
      <c r="T32" s="808"/>
      <c r="U32" s="802"/>
      <c r="V32" s="212">
        <v>8155</v>
      </c>
      <c r="W32" s="394">
        <v>9686</v>
      </c>
      <c r="X32" s="212">
        <v>4925</v>
      </c>
      <c r="Y32" s="225">
        <v>5017</v>
      </c>
      <c r="Z32" s="394">
        <v>8288</v>
      </c>
      <c r="AA32" s="394">
        <v>-6684</v>
      </c>
      <c r="AB32" s="394">
        <v>7933</v>
      </c>
      <c r="AC32" s="225">
        <v>13170</v>
      </c>
      <c r="AD32" s="226">
        <v>-44140</v>
      </c>
      <c r="AE32" s="221">
        <v>13034</v>
      </c>
      <c r="AF32" s="221">
        <v>13376</v>
      </c>
      <c r="AG32" s="220">
        <v>18935</v>
      </c>
      <c r="AH32" s="220">
        <v>20527</v>
      </c>
      <c r="AI32" s="220">
        <v>18653</v>
      </c>
      <c r="AJ32" s="220">
        <v>14280</v>
      </c>
      <c r="AK32" s="220">
        <v>17069</v>
      </c>
      <c r="AL32" s="89"/>
      <c r="AM32" s="178">
        <v>12272</v>
      </c>
      <c r="AN32" s="31">
        <v>5365</v>
      </c>
      <c r="AO32" s="381">
        <v>6907</v>
      </c>
      <c r="AP32" s="170">
        <v>1.2874184529356942</v>
      </c>
      <c r="AQ32" s="89"/>
      <c r="AR32" s="171">
        <v>10901</v>
      </c>
      <c r="AS32" s="1334">
        <v>-3739</v>
      </c>
      <c r="AT32" s="815"/>
      <c r="AU32" s="812"/>
      <c r="AV32" s="816"/>
      <c r="AW32" s="817"/>
      <c r="AX32" s="236">
        <v>70529</v>
      </c>
      <c r="AY32" s="360">
        <v>61218</v>
      </c>
      <c r="AZ32" s="360">
        <v>50672</v>
      </c>
      <c r="BA32" s="366">
        <v>57345</v>
      </c>
      <c r="BB32" s="148"/>
      <c r="BD32" s="210"/>
      <c r="BE32" s="210"/>
      <c r="BF32" s="210"/>
      <c r="BG32" s="210"/>
    </row>
    <row r="33" spans="1:59" s="96" customFormat="1" ht="15" customHeight="1" thickTop="1">
      <c r="A33" s="537"/>
      <c r="B33" s="546" t="s">
        <v>451</v>
      </c>
      <c r="C33" s="169">
        <v>432</v>
      </c>
      <c r="D33" s="149">
        <v>0.24784853700516352</v>
      </c>
      <c r="E33" s="592"/>
      <c r="F33" s="235"/>
      <c r="G33" s="235">
        <v>2175</v>
      </c>
      <c r="H33" s="235">
        <v>1880</v>
      </c>
      <c r="I33" s="951">
        <v>1633</v>
      </c>
      <c r="J33" s="381">
        <v>1769</v>
      </c>
      <c r="K33" s="1345">
        <v>1743</v>
      </c>
      <c r="L33" s="1345">
        <v>2014</v>
      </c>
      <c r="M33" s="951">
        <v>1210</v>
      </c>
      <c r="N33" s="1345">
        <v>0</v>
      </c>
      <c r="O33" s="953"/>
      <c r="P33" s="953"/>
      <c r="Q33" s="954"/>
      <c r="R33" s="942"/>
      <c r="S33" s="943"/>
      <c r="T33" s="943"/>
      <c r="U33" s="943"/>
      <c r="V33" s="235"/>
      <c r="W33" s="235"/>
      <c r="X33" s="235"/>
      <c r="Y33" s="236"/>
      <c r="Z33" s="906"/>
      <c r="AA33" s="906"/>
      <c r="AB33" s="906"/>
      <c r="AC33" s="907"/>
      <c r="AD33" s="932"/>
      <c r="AE33" s="543"/>
      <c r="AF33" s="543"/>
      <c r="AG33" s="542"/>
      <c r="AH33" s="542"/>
      <c r="AI33" s="542"/>
      <c r="AJ33" s="542"/>
      <c r="AK33" s="542"/>
      <c r="AL33" s="551"/>
      <c r="AM33" s="380">
        <v>5688</v>
      </c>
      <c r="AN33" s="235">
        <v>4967</v>
      </c>
      <c r="AO33" s="381">
        <v>721</v>
      </c>
      <c r="AP33" s="170">
        <v>0.14515804308435676</v>
      </c>
      <c r="AQ33" s="551"/>
      <c r="AR33" s="945">
        <v>6736</v>
      </c>
      <c r="AS33" s="951">
        <v>0</v>
      </c>
      <c r="AT33" s="814"/>
      <c r="AU33" s="812"/>
      <c r="AV33" s="952"/>
      <c r="AW33" s="933"/>
      <c r="AX33" s="907"/>
      <c r="AY33" s="908"/>
      <c r="AZ33" s="908"/>
      <c r="BA33" s="9"/>
      <c r="BB33" s="148"/>
      <c r="BD33" s="210"/>
      <c r="BE33" s="210"/>
      <c r="BF33" s="210"/>
      <c r="BG33" s="210"/>
    </row>
    <row r="34" spans="1:59" s="96" customFormat="1" ht="13.5" thickBot="1">
      <c r="A34" s="143" t="s">
        <v>82</v>
      </c>
      <c r="B34" s="142"/>
      <c r="C34" s="936">
        <v>2245</v>
      </c>
      <c r="D34" s="798" t="s">
        <v>44</v>
      </c>
      <c r="E34" s="592"/>
      <c r="F34" s="252">
        <v>0</v>
      </c>
      <c r="G34" s="252">
        <v>1557</v>
      </c>
      <c r="H34" s="252">
        <v>1808</v>
      </c>
      <c r="I34" s="480">
        <v>3219</v>
      </c>
      <c r="J34" s="478">
        <v>3767</v>
      </c>
      <c r="K34" s="1372">
        <v>-688</v>
      </c>
      <c r="L34" s="1372">
        <v>269</v>
      </c>
      <c r="M34" s="1373">
        <v>817</v>
      </c>
      <c r="N34" s="1374">
        <v>-3739</v>
      </c>
      <c r="O34" s="937"/>
      <c r="P34" s="937"/>
      <c r="Q34" s="938"/>
      <c r="R34" s="809"/>
      <c r="S34" s="809"/>
      <c r="T34" s="809"/>
      <c r="U34" s="810"/>
      <c r="V34" s="252">
        <v>-1070</v>
      </c>
      <c r="W34" s="252">
        <v>-87</v>
      </c>
      <c r="X34" s="252">
        <v>-3294</v>
      </c>
      <c r="Y34" s="253">
        <v>-3548</v>
      </c>
      <c r="Z34" s="544" t="s">
        <v>214</v>
      </c>
      <c r="AA34" s="544" t="s">
        <v>214</v>
      </c>
      <c r="AB34" s="544" t="s">
        <v>214</v>
      </c>
      <c r="AC34" s="545" t="s">
        <v>214</v>
      </c>
      <c r="AD34" s="567" t="s">
        <v>214</v>
      </c>
      <c r="AE34" s="543"/>
      <c r="AF34" s="543"/>
      <c r="AG34" s="542"/>
      <c r="AH34" s="542"/>
      <c r="AI34" s="542"/>
      <c r="AJ34" s="542"/>
      <c r="AK34" s="542"/>
      <c r="AL34" s="551"/>
      <c r="AM34" s="252">
        <v>6584</v>
      </c>
      <c r="AN34" s="252">
        <v>398</v>
      </c>
      <c r="AO34" s="384">
        <v>6186</v>
      </c>
      <c r="AP34" s="1372" t="s">
        <v>44</v>
      </c>
      <c r="AQ34" s="551"/>
      <c r="AR34" s="480">
        <v>4165</v>
      </c>
      <c r="AS34" s="1373">
        <v>-3739</v>
      </c>
      <c r="AT34" s="938"/>
      <c r="AU34" s="939"/>
      <c r="AV34" s="940"/>
      <c r="AW34" s="819"/>
      <c r="AX34" s="545" t="s">
        <v>214</v>
      </c>
      <c r="AY34" s="568" t="s">
        <v>214</v>
      </c>
      <c r="AZ34" s="568" t="s">
        <v>214</v>
      </c>
      <c r="BA34" s="9"/>
      <c r="BB34" s="148"/>
      <c r="BD34" s="210"/>
      <c r="BE34" s="210"/>
      <c r="BF34" s="210"/>
      <c r="BG34" s="210"/>
    </row>
    <row r="35" spans="1:59" ht="12.75" customHeight="1" thickTop="1">
      <c r="A35" s="144"/>
      <c r="B35" s="144"/>
      <c r="C35" s="31"/>
      <c r="D35" s="41"/>
      <c r="E35" s="41"/>
      <c r="F35" s="41"/>
      <c r="G35" s="41"/>
      <c r="H35" s="41"/>
      <c r="I35" s="148"/>
      <c r="J35" s="41"/>
      <c r="K35" s="41"/>
      <c r="L35" s="41"/>
      <c r="M35" s="148"/>
      <c r="N35" s="41"/>
      <c r="O35" s="41"/>
      <c r="P35" s="41"/>
      <c r="Q35" s="148"/>
      <c r="R35" s="41"/>
      <c r="S35" s="41"/>
      <c r="T35" s="41"/>
      <c r="U35" s="148"/>
      <c r="V35" s="41"/>
      <c r="W35" s="41"/>
      <c r="X35" s="41"/>
      <c r="Y35" s="148"/>
      <c r="Z35" s="41"/>
      <c r="AA35" s="41"/>
      <c r="AB35" s="41"/>
      <c r="AC35" s="148"/>
      <c r="AD35" s="83"/>
      <c r="AE35" s="83"/>
      <c r="AF35" s="83"/>
      <c r="AG35" s="212"/>
      <c r="AH35" s="212"/>
      <c r="AI35" s="212"/>
      <c r="AJ35" s="212"/>
      <c r="AK35" s="212"/>
      <c r="AL35" s="148"/>
      <c r="AM35" s="148"/>
      <c r="AN35" s="148"/>
      <c r="AO35" s="31"/>
      <c r="AP35" s="41"/>
      <c r="AQ35" s="148"/>
      <c r="AR35" s="148"/>
      <c r="AS35" s="148"/>
      <c r="AT35" s="148"/>
      <c r="AU35" s="148"/>
      <c r="AV35" s="148"/>
      <c r="AW35" s="31"/>
      <c r="AX35" s="31"/>
      <c r="AY35" s="9"/>
      <c r="AZ35" s="9"/>
      <c r="BA35" s="9"/>
      <c r="BB35" s="148"/>
      <c r="BD35" s="3"/>
      <c r="BG35" s="3"/>
    </row>
    <row r="36" spans="1:59" ht="13.5" customHeight="1">
      <c r="A36" s="146" t="s">
        <v>492</v>
      </c>
      <c r="B36" s="144"/>
      <c r="C36" s="228">
        <v>0.8000000000000007</v>
      </c>
      <c r="D36" s="41"/>
      <c r="E36" s="41"/>
      <c r="F36" s="35"/>
      <c r="G36" s="35">
        <v>0.636</v>
      </c>
      <c r="H36" s="35">
        <v>0.625</v>
      </c>
      <c r="I36" s="35">
        <v>0.562</v>
      </c>
      <c r="J36" s="35">
        <v>0.579</v>
      </c>
      <c r="K36" s="35">
        <v>0.628</v>
      </c>
      <c r="L36" s="35">
        <v>0.619</v>
      </c>
      <c r="M36" s="35">
        <v>0.623</v>
      </c>
      <c r="N36" s="35">
        <v>0.555</v>
      </c>
      <c r="O36" s="799"/>
      <c r="P36" s="799"/>
      <c r="Q36" s="799"/>
      <c r="R36" s="799"/>
      <c r="S36" s="799"/>
      <c r="T36" s="799"/>
      <c r="U36" s="799"/>
      <c r="V36" s="35">
        <v>0.11445717403164211</v>
      </c>
      <c r="W36" s="35">
        <v>0.11710126998240968</v>
      </c>
      <c r="X36" s="35">
        <v>0.15167671533210425</v>
      </c>
      <c r="Y36" s="35">
        <v>0.1384596242378997</v>
      </c>
      <c r="Z36" s="35">
        <v>0.14532277546638034</v>
      </c>
      <c r="AA36" s="35">
        <v>0.18445067398306095</v>
      </c>
      <c r="AB36" s="35">
        <v>0.1928428063132926</v>
      </c>
      <c r="AC36" s="35">
        <v>0.157</v>
      </c>
      <c r="AD36" s="35">
        <v>0.163</v>
      </c>
      <c r="AE36" s="35">
        <v>0.153</v>
      </c>
      <c r="AF36" s="35">
        <v>0.16</v>
      </c>
      <c r="AG36" s="35">
        <v>0.12</v>
      </c>
      <c r="AH36" s="35">
        <v>0.116</v>
      </c>
      <c r="AI36" s="35">
        <v>0.121</v>
      </c>
      <c r="AJ36" s="35">
        <v>0.143</v>
      </c>
      <c r="AK36" s="35">
        <v>0.104</v>
      </c>
      <c r="AL36" s="148"/>
      <c r="AM36" s="35">
        <v>0.606</v>
      </c>
      <c r="AN36" s="35">
        <v>0.624</v>
      </c>
      <c r="AO36" s="228">
        <v>-1.8000000000000016</v>
      </c>
      <c r="AP36" s="41"/>
      <c r="AQ36" s="148"/>
      <c r="AR36" s="35">
        <v>0.611</v>
      </c>
      <c r="AS36" s="35">
        <v>0.555</v>
      </c>
      <c r="AT36" s="822"/>
      <c r="AU36" s="822"/>
      <c r="AV36" s="822"/>
      <c r="AW36" s="822"/>
      <c r="AX36" s="35">
        <v>0.119</v>
      </c>
      <c r="AY36" s="367">
        <v>0.099</v>
      </c>
      <c r="AZ36" s="367">
        <v>0.077</v>
      </c>
      <c r="BA36" s="367">
        <v>0.079</v>
      </c>
      <c r="BB36" s="148"/>
      <c r="BD36" s="3"/>
      <c r="BG36" s="3"/>
    </row>
    <row r="37" spans="1:59" ht="13.5" customHeight="1">
      <c r="A37" s="7" t="s">
        <v>401</v>
      </c>
      <c r="B37" s="144"/>
      <c r="C37" s="228">
        <v>-3.047850678157482</v>
      </c>
      <c r="D37" s="41"/>
      <c r="E37" s="41"/>
      <c r="F37" s="35" t="e">
        <v>#DIV/0!</v>
      </c>
      <c r="G37" s="35">
        <v>0.3448441779554371</v>
      </c>
      <c r="H37" s="35">
        <v>0.3401858304297329</v>
      </c>
      <c r="I37" s="35">
        <v>0.3486544591889688</v>
      </c>
      <c r="J37" s="35">
        <v>0.3443795401782371</v>
      </c>
      <c r="K37" s="35">
        <v>0.3753226847370119</v>
      </c>
      <c r="L37" s="35">
        <v>0.37161377708978327</v>
      </c>
      <c r="M37" s="35">
        <v>0.37540205238168173</v>
      </c>
      <c r="N37" s="35">
        <v>0.34373427277302465</v>
      </c>
      <c r="O37" s="799"/>
      <c r="P37" s="799"/>
      <c r="Q37" s="799"/>
      <c r="R37" s="799"/>
      <c r="S37" s="799"/>
      <c r="T37" s="799"/>
      <c r="U37" s="799"/>
      <c r="V37" s="35"/>
      <c r="W37" s="35"/>
      <c r="X37" s="35"/>
      <c r="Y37" s="35"/>
      <c r="Z37" s="35"/>
      <c r="AA37" s="35"/>
      <c r="AB37" s="35"/>
      <c r="AC37" s="35"/>
      <c r="AD37" s="35"/>
      <c r="AE37" s="35"/>
      <c r="AF37" s="35"/>
      <c r="AG37" s="35"/>
      <c r="AH37" s="35"/>
      <c r="AI37" s="35"/>
      <c r="AJ37" s="35"/>
      <c r="AK37" s="35"/>
      <c r="AL37" s="148"/>
      <c r="AM37" s="35">
        <v>0.34462455841455164</v>
      </c>
      <c r="AN37" s="35">
        <v>0.3741679605232817</v>
      </c>
      <c r="AO37" s="228">
        <v>-2.9543402108730077</v>
      </c>
      <c r="AP37" s="41"/>
      <c r="AQ37" s="148"/>
      <c r="AR37" s="35">
        <v>0.36549800015257694</v>
      </c>
      <c r="AS37" s="35">
        <v>0.34373427277302465</v>
      </c>
      <c r="AT37" s="822"/>
      <c r="AU37" s="822"/>
      <c r="AV37" s="822"/>
      <c r="AW37" s="822"/>
      <c r="AX37" s="35"/>
      <c r="AY37" s="367"/>
      <c r="AZ37" s="367"/>
      <c r="BA37" s="367"/>
      <c r="BB37" s="148"/>
      <c r="BD37" s="3"/>
      <c r="BG37" s="3"/>
    </row>
    <row r="38" spans="1:59" ht="13.5" customHeight="1">
      <c r="A38" s="7" t="s">
        <v>402</v>
      </c>
      <c r="B38" s="144"/>
      <c r="C38" s="228">
        <v>-0.3944790454493892</v>
      </c>
      <c r="D38" s="41"/>
      <c r="E38" s="41"/>
      <c r="F38" s="35" t="e">
        <v>#DIV/0!</v>
      </c>
      <c r="G38" s="35">
        <v>0.011140721000814272</v>
      </c>
      <c r="H38" s="35">
        <v>0.013356562137049941</v>
      </c>
      <c r="I38" s="35">
        <v>0.021536066424494033</v>
      </c>
      <c r="J38" s="35">
        <v>0.00273346813450161</v>
      </c>
      <c r="K38" s="35">
        <v>0.015085511455308164</v>
      </c>
      <c r="L38" s="35">
        <v>0.019785216718266253</v>
      </c>
      <c r="M38" s="35">
        <v>0.019758002756930616</v>
      </c>
      <c r="N38" s="35">
        <v>0.14292903875188726</v>
      </c>
      <c r="O38" s="799"/>
      <c r="P38" s="799"/>
      <c r="Q38" s="799"/>
      <c r="R38" s="799"/>
      <c r="S38" s="799"/>
      <c r="T38" s="799"/>
      <c r="U38" s="799"/>
      <c r="V38" s="35"/>
      <c r="W38" s="35"/>
      <c r="X38" s="35"/>
      <c r="Y38" s="35"/>
      <c r="Z38" s="35"/>
      <c r="AA38" s="35"/>
      <c r="AB38" s="35"/>
      <c r="AC38" s="35"/>
      <c r="AD38" s="35"/>
      <c r="AE38" s="35"/>
      <c r="AF38" s="35"/>
      <c r="AG38" s="35"/>
      <c r="AH38" s="35"/>
      <c r="AI38" s="35"/>
      <c r="AJ38" s="35"/>
      <c r="AK38" s="35"/>
      <c r="AL38" s="148"/>
      <c r="AM38" s="35">
        <v>0.015370931776614135</v>
      </c>
      <c r="AN38" s="35">
        <v>0.017985887995572703</v>
      </c>
      <c r="AO38" s="228">
        <v>-0.26149562189585684</v>
      </c>
      <c r="AP38" s="41"/>
      <c r="AQ38" s="148"/>
      <c r="AR38" s="35">
        <v>0.013546650391795721</v>
      </c>
      <c r="AS38" s="35">
        <v>0.14292903875188726</v>
      </c>
      <c r="AT38" s="822"/>
      <c r="AU38" s="822"/>
      <c r="AV38" s="822"/>
      <c r="AW38" s="822"/>
      <c r="AX38" s="35"/>
      <c r="AY38" s="367"/>
      <c r="AZ38" s="367"/>
      <c r="BA38" s="367"/>
      <c r="BB38" s="148"/>
      <c r="BD38" s="3"/>
      <c r="BG38" s="3"/>
    </row>
    <row r="39" spans="1:59" ht="12.75" customHeight="1">
      <c r="A39" s="145" t="s">
        <v>84</v>
      </c>
      <c r="B39" s="144"/>
      <c r="C39" s="228">
        <v>-3.4423297236068686</v>
      </c>
      <c r="D39" s="41"/>
      <c r="E39" s="41"/>
      <c r="F39" s="35" t="e">
        <v>#DIV/0!</v>
      </c>
      <c r="G39" s="35">
        <v>0.3559848989562514</v>
      </c>
      <c r="H39" s="35">
        <v>0.3535423925667828</v>
      </c>
      <c r="I39" s="35">
        <v>0.37019052561346283</v>
      </c>
      <c r="J39" s="35">
        <v>0.3471130083127387</v>
      </c>
      <c r="K39" s="35">
        <v>0.3904081961923201</v>
      </c>
      <c r="L39" s="35">
        <v>0.39139899380804954</v>
      </c>
      <c r="M39" s="35">
        <v>0.39516005513861235</v>
      </c>
      <c r="N39" s="35">
        <v>0.48666331152491193</v>
      </c>
      <c r="O39" s="799"/>
      <c r="P39" s="799"/>
      <c r="Q39" s="799"/>
      <c r="R39" s="799"/>
      <c r="S39" s="799"/>
      <c r="T39" s="799"/>
      <c r="U39" s="799"/>
      <c r="V39" s="35">
        <v>0.47650481905801056</v>
      </c>
      <c r="W39" s="35">
        <v>0.47118860301934934</v>
      </c>
      <c r="X39" s="35">
        <v>0.4825352533758533</v>
      </c>
      <c r="Y39" s="35">
        <v>0.46392932686325744</v>
      </c>
      <c r="Z39" s="35">
        <v>0.3522211783653201</v>
      </c>
      <c r="AA39" s="35">
        <v>0.423326971251342</v>
      </c>
      <c r="AB39" s="35">
        <v>0.4588085028738254</v>
      </c>
      <c r="AC39" s="35">
        <v>0.46583582528131645</v>
      </c>
      <c r="AD39" s="35">
        <v>0.444</v>
      </c>
      <c r="AE39" s="35">
        <v>0.465</v>
      </c>
      <c r="AF39" s="35">
        <v>0.442</v>
      </c>
      <c r="AG39" s="35">
        <v>0.495</v>
      </c>
      <c r="AH39" s="35">
        <v>0.482</v>
      </c>
      <c r="AI39" s="35">
        <v>0.463</v>
      </c>
      <c r="AJ39" s="35">
        <v>0.447</v>
      </c>
      <c r="AK39" s="35">
        <v>0.462</v>
      </c>
      <c r="AL39" s="148"/>
      <c r="AM39" s="35">
        <v>0.3599954901911658</v>
      </c>
      <c r="AN39" s="35">
        <v>0.39215384851885443</v>
      </c>
      <c r="AO39" s="228">
        <v>-3.215835832768865</v>
      </c>
      <c r="AP39" s="41"/>
      <c r="AQ39" s="148"/>
      <c r="AR39" s="35">
        <v>0.37904465054437264</v>
      </c>
      <c r="AS39" s="35">
        <v>0.48666331152491193</v>
      </c>
      <c r="AT39" s="822"/>
      <c r="AU39" s="822"/>
      <c r="AV39" s="822"/>
      <c r="AW39" s="822"/>
      <c r="AX39" s="35">
        <v>0.465</v>
      </c>
      <c r="AY39" s="358">
        <v>0.468</v>
      </c>
      <c r="AZ39" s="358">
        <v>0.474</v>
      </c>
      <c r="BA39" s="358">
        <v>0.47</v>
      </c>
      <c r="BB39" s="148"/>
      <c r="BD39" s="3"/>
      <c r="BG39" s="3"/>
    </row>
    <row r="40" spans="1:59" ht="13.5" customHeight="1">
      <c r="A40" s="145" t="s">
        <v>259</v>
      </c>
      <c r="B40" s="144"/>
      <c r="C40" s="228">
        <v>-1.0442511274080135</v>
      </c>
      <c r="D40" s="41"/>
      <c r="E40" s="41"/>
      <c r="F40" s="35" t="e">
        <v>#DIV/0!</v>
      </c>
      <c r="G40" s="35">
        <v>0.48467688207861426</v>
      </c>
      <c r="H40" s="35">
        <v>0.4913279132791328</v>
      </c>
      <c r="I40" s="35">
        <v>0.48161464897323747</v>
      </c>
      <c r="J40" s="35">
        <v>0.433460645547817</v>
      </c>
      <c r="K40" s="35">
        <v>0.4951193933526944</v>
      </c>
      <c r="L40" s="35">
        <v>0.5017414860681114</v>
      </c>
      <c r="M40" s="35">
        <v>0.525450553938837</v>
      </c>
      <c r="N40" s="35">
        <v>0.5762455963764469</v>
      </c>
      <c r="O40" s="799"/>
      <c r="P40" s="799"/>
      <c r="Q40" s="799"/>
      <c r="R40" s="799"/>
      <c r="S40" s="799"/>
      <c r="T40" s="799"/>
      <c r="U40" s="799"/>
      <c r="V40" s="35">
        <v>0.5778505182760502</v>
      </c>
      <c r="W40" s="35">
        <v>0.5487986391664895</v>
      </c>
      <c r="X40" s="35">
        <v>0.5911604962878071</v>
      </c>
      <c r="Y40" s="35">
        <v>0.5695906432748538</v>
      </c>
      <c r="Z40" s="35">
        <v>0.4731445443564622</v>
      </c>
      <c r="AA40" s="35">
        <v>0.5144936180365024</v>
      </c>
      <c r="AB40" s="35">
        <v>0.5381123985037861</v>
      </c>
      <c r="AC40" s="35">
        <v>0.5311911223272777</v>
      </c>
      <c r="AD40" s="35">
        <v>0.53</v>
      </c>
      <c r="AE40" s="35">
        <v>0.519</v>
      </c>
      <c r="AF40" s="35">
        <v>0.503</v>
      </c>
      <c r="AG40" s="35">
        <v>0.548</v>
      </c>
      <c r="AH40" s="35">
        <v>0.539</v>
      </c>
      <c r="AI40" s="35">
        <v>0.507</v>
      </c>
      <c r="AJ40" s="35">
        <v>0.499</v>
      </c>
      <c r="AK40" s="35">
        <v>0.509</v>
      </c>
      <c r="AL40" s="148"/>
      <c r="AM40" s="35">
        <v>0.4857941021722246</v>
      </c>
      <c r="AN40" s="35">
        <v>0.5063565510138199</v>
      </c>
      <c r="AO40" s="228">
        <v>-2.056244884159536</v>
      </c>
      <c r="AP40" s="41"/>
      <c r="AQ40" s="148"/>
      <c r="AR40" s="35">
        <v>0.4851400983031267</v>
      </c>
      <c r="AS40" s="35">
        <v>0.5762455963764469</v>
      </c>
      <c r="AT40" s="822"/>
      <c r="AU40" s="822"/>
      <c r="AV40" s="822"/>
      <c r="AW40" s="822"/>
      <c r="AX40" s="35">
        <v>0.515</v>
      </c>
      <c r="AY40" s="358">
        <v>0.525</v>
      </c>
      <c r="AZ40" s="358">
        <v>0.536</v>
      </c>
      <c r="BA40" s="358">
        <v>0.528</v>
      </c>
      <c r="BB40" s="148"/>
      <c r="BD40" s="3"/>
      <c r="BG40" s="3"/>
    </row>
    <row r="41" spans="1:59" ht="12.75" customHeight="1">
      <c r="A41" s="144" t="s">
        <v>85</v>
      </c>
      <c r="B41" s="144"/>
      <c r="C41" s="228">
        <v>-8.513357449771576</v>
      </c>
      <c r="D41" s="41"/>
      <c r="E41" s="41"/>
      <c r="F41" s="35" t="e">
        <v>#REF!</v>
      </c>
      <c r="G41" s="35">
        <v>0.37719298245614036</v>
      </c>
      <c r="H41" s="35">
        <v>0.3658923732094464</v>
      </c>
      <c r="I41" s="35">
        <v>0.33853510267625475</v>
      </c>
      <c r="J41" s="35">
        <v>0.35924511345765</v>
      </c>
      <c r="K41" s="35">
        <v>0.4623265569538561</v>
      </c>
      <c r="L41" s="35">
        <v>0.38781927244582043</v>
      </c>
      <c r="M41" s="35">
        <v>0.37106243937305355</v>
      </c>
      <c r="N41" s="35">
        <v>2.3054856567689983</v>
      </c>
      <c r="O41" s="799"/>
      <c r="P41" s="799"/>
      <c r="Q41" s="799"/>
      <c r="R41" s="799"/>
      <c r="S41" s="799"/>
      <c r="T41" s="799"/>
      <c r="U41" s="799"/>
      <c r="V41" s="35">
        <v>0.2738497908710675</v>
      </c>
      <c r="W41" s="35">
        <v>0.26397077300755806</v>
      </c>
      <c r="X41" s="35">
        <v>0.28613782450545616</v>
      </c>
      <c r="Y41" s="35">
        <v>0.3045617767823815</v>
      </c>
      <c r="Z41" s="35">
        <v>0.30438867266138775</v>
      </c>
      <c r="AA41" s="35">
        <v>0.6848383633544077</v>
      </c>
      <c r="AB41" s="35">
        <v>0.28095064318949003</v>
      </c>
      <c r="AC41" s="35">
        <v>0.2411629474703127</v>
      </c>
      <c r="AD41" s="35">
        <v>1.28</v>
      </c>
      <c r="AE41" s="35">
        <v>0.268</v>
      </c>
      <c r="AF41" s="35">
        <v>0.264</v>
      </c>
      <c r="AG41" s="35">
        <v>0.20299999999999996</v>
      </c>
      <c r="AH41" s="35">
        <v>0.19</v>
      </c>
      <c r="AI41" s="35">
        <v>0.22199999999999998</v>
      </c>
      <c r="AJ41" s="35">
        <v>0.244</v>
      </c>
      <c r="AK41" s="35">
        <v>0.255</v>
      </c>
      <c r="AL41" s="148"/>
      <c r="AM41" s="35">
        <v>0.36047152556811063</v>
      </c>
      <c r="AN41" s="35">
        <v>0.41116969762186595</v>
      </c>
      <c r="AO41" s="228">
        <v>-5.069817205375532</v>
      </c>
      <c r="AP41" s="41"/>
      <c r="AQ41" s="148"/>
      <c r="AR41" s="35">
        <v>0.39605697657944355</v>
      </c>
      <c r="AS41" s="35">
        <v>2.3054856567689983</v>
      </c>
      <c r="AT41" s="822"/>
      <c r="AU41" s="822"/>
      <c r="AV41" s="822"/>
      <c r="AW41" s="822"/>
      <c r="AX41" s="35">
        <v>0.22599999999999998</v>
      </c>
      <c r="AY41" s="358">
        <v>0.20299999999999996</v>
      </c>
      <c r="AZ41" s="358">
        <v>0.18</v>
      </c>
      <c r="BA41" s="358">
        <v>0.14600000000000002</v>
      </c>
      <c r="BB41" s="148"/>
      <c r="BD41" s="3"/>
      <c r="BG41" s="3"/>
    </row>
    <row r="42" spans="1:59" ht="12.75" customHeight="1">
      <c r="A42" s="144" t="s">
        <v>86</v>
      </c>
      <c r="B42" s="144"/>
      <c r="C42" s="228">
        <v>-9.5576085771796</v>
      </c>
      <c r="D42" s="41"/>
      <c r="E42" s="41"/>
      <c r="F42" s="35" t="e">
        <v>#DIV/0!</v>
      </c>
      <c r="G42" s="35">
        <v>0.8618698645347546</v>
      </c>
      <c r="H42" s="35">
        <v>0.8572202864885792</v>
      </c>
      <c r="I42" s="35">
        <v>0.8201497516494922</v>
      </c>
      <c r="J42" s="35">
        <v>0.7927057590054669</v>
      </c>
      <c r="K42" s="35">
        <v>0.9574459503065506</v>
      </c>
      <c r="L42" s="35">
        <v>0.8895607585139319</v>
      </c>
      <c r="M42" s="35">
        <v>0.8965129933118905</v>
      </c>
      <c r="N42" s="35">
        <v>2.8817312531454453</v>
      </c>
      <c r="O42" s="799"/>
      <c r="P42" s="799"/>
      <c r="Q42" s="799"/>
      <c r="R42" s="799"/>
      <c r="S42" s="799"/>
      <c r="T42" s="799"/>
      <c r="U42" s="799"/>
      <c r="V42" s="35">
        <v>0.8517003091471177</v>
      </c>
      <c r="W42" s="35">
        <v>0.8127694121740475</v>
      </c>
      <c r="X42" s="35">
        <v>0.8772983207932632</v>
      </c>
      <c r="Y42" s="35">
        <v>0.8751524200572353</v>
      </c>
      <c r="Z42" s="35">
        <v>0.7775332170178499</v>
      </c>
      <c r="AA42" s="35">
        <v>1.1993319813909102</v>
      </c>
      <c r="AB42" s="35">
        <v>0.8190630416932762</v>
      </c>
      <c r="AC42" s="35">
        <v>0.7723540697975905</v>
      </c>
      <c r="AD42" s="35">
        <v>1.81</v>
      </c>
      <c r="AE42" s="35">
        <v>0.787</v>
      </c>
      <c r="AF42" s="35">
        <v>0.767</v>
      </c>
      <c r="AG42" s="35">
        <v>0.751</v>
      </c>
      <c r="AH42" s="35">
        <v>0.729</v>
      </c>
      <c r="AI42" s="35">
        <v>0.729</v>
      </c>
      <c r="AJ42" s="35">
        <v>0.743</v>
      </c>
      <c r="AK42" s="35">
        <v>0.764</v>
      </c>
      <c r="AL42" s="148"/>
      <c r="AM42" s="35">
        <v>0.8462656277403352</v>
      </c>
      <c r="AN42" s="35">
        <v>0.9175262486356859</v>
      </c>
      <c r="AO42" s="228">
        <v>-7.126062089535068</v>
      </c>
      <c r="AP42" s="41"/>
      <c r="AQ42" s="148"/>
      <c r="AR42" s="35">
        <v>0.8811970748825703</v>
      </c>
      <c r="AS42" s="35">
        <v>2.8817312531454453</v>
      </c>
      <c r="AT42" s="822"/>
      <c r="AU42" s="822"/>
      <c r="AV42" s="822"/>
      <c r="AW42" s="822"/>
      <c r="AX42" s="35">
        <v>0.741</v>
      </c>
      <c r="AY42" s="358">
        <v>0.728</v>
      </c>
      <c r="AZ42" s="358">
        <v>0.716</v>
      </c>
      <c r="BA42" s="358">
        <v>0.674</v>
      </c>
      <c r="BB42" s="148"/>
      <c r="BD42" s="3"/>
      <c r="BG42" s="3"/>
    </row>
    <row r="43" spans="1:59" ht="12.75" customHeight="1">
      <c r="A43" s="145" t="s">
        <v>215</v>
      </c>
      <c r="B43" s="144"/>
      <c r="C43" s="228">
        <v>9.557608577179588</v>
      </c>
      <c r="D43" s="41"/>
      <c r="E43" s="41"/>
      <c r="F43" s="35" t="e">
        <v>#DIV/0!</v>
      </c>
      <c r="G43" s="35">
        <v>0.13813013546524538</v>
      </c>
      <c r="H43" s="35">
        <v>0.14277971351142082</v>
      </c>
      <c r="I43" s="35">
        <v>0.1798502483505078</v>
      </c>
      <c r="J43" s="35">
        <v>0.20729424099453306</v>
      </c>
      <c r="K43" s="35">
        <v>0.0425540496934495</v>
      </c>
      <c r="L43" s="35">
        <v>0.11043924148606811</v>
      </c>
      <c r="M43" s="35">
        <v>0.10348700668810946</v>
      </c>
      <c r="N43" s="35">
        <v>-1.8817312531454453</v>
      </c>
      <c r="O43" s="799"/>
      <c r="P43" s="799"/>
      <c r="Q43" s="799"/>
      <c r="R43" s="799"/>
      <c r="S43" s="799"/>
      <c r="T43" s="799"/>
      <c r="U43" s="799"/>
      <c r="V43" s="35">
        <v>0.14829969085288233</v>
      </c>
      <c r="W43" s="35">
        <v>0.18723058782595248</v>
      </c>
      <c r="X43" s="35">
        <v>0.12270167920673676</v>
      </c>
      <c r="Y43" s="35">
        <v>0.12484757994276471</v>
      </c>
      <c r="Z43" s="35">
        <v>0.22246678298215006</v>
      </c>
      <c r="AA43" s="35">
        <v>-0.19933198139091018</v>
      </c>
      <c r="AB43" s="35">
        <v>0.18093695830672385</v>
      </c>
      <c r="AC43" s="35">
        <v>0.22764593020240956</v>
      </c>
      <c r="AD43" s="35">
        <v>-0.81</v>
      </c>
      <c r="AE43" s="35">
        <v>0.21299999999999997</v>
      </c>
      <c r="AF43" s="35">
        <v>0.23299999999999998</v>
      </c>
      <c r="AG43" s="35">
        <v>0.249</v>
      </c>
      <c r="AH43" s="35">
        <v>0.271</v>
      </c>
      <c r="AI43" s="35">
        <v>0.271</v>
      </c>
      <c r="AJ43" s="35">
        <v>0.257</v>
      </c>
      <c r="AK43" s="35">
        <v>0.236</v>
      </c>
      <c r="AL43" s="148"/>
      <c r="AM43" s="35">
        <v>0.15373437225966477</v>
      </c>
      <c r="AN43" s="35">
        <v>0.08247375136431416</v>
      </c>
      <c r="AO43" s="228">
        <v>7.126062089535061</v>
      </c>
      <c r="AP43" s="41"/>
      <c r="AQ43" s="148"/>
      <c r="AR43" s="35">
        <v>0.11880292511742974</v>
      </c>
      <c r="AS43" s="35">
        <v>-1.8817312531454453</v>
      </c>
      <c r="AT43" s="822"/>
      <c r="AU43" s="822"/>
      <c r="AV43" s="822"/>
      <c r="AW43" s="822"/>
      <c r="AX43" s="35">
        <v>0.259</v>
      </c>
      <c r="AY43" s="358">
        <v>0.272</v>
      </c>
      <c r="AZ43" s="358">
        <v>0.28400000000000003</v>
      </c>
      <c r="BA43" s="358">
        <v>0.32599999999999996</v>
      </c>
      <c r="BB43" s="148"/>
      <c r="BD43" s="3"/>
      <c r="BG43" s="3"/>
    </row>
    <row r="44" spans="1:59" ht="12.75" customHeight="1">
      <c r="A44" s="145" t="s">
        <v>87</v>
      </c>
      <c r="B44" s="144"/>
      <c r="C44" s="228">
        <v>8.53791352178036</v>
      </c>
      <c r="D44" s="41"/>
      <c r="E44" s="41"/>
      <c r="F44" s="35" t="e">
        <v>#DIV/0!</v>
      </c>
      <c r="G44" s="35">
        <v>0.05762824783477682</v>
      </c>
      <c r="H44" s="35">
        <v>0.0699961285327139</v>
      </c>
      <c r="I44" s="35">
        <v>0.11931944547409</v>
      </c>
      <c r="J44" s="35">
        <v>0.14105444469407624</v>
      </c>
      <c r="K44" s="35">
        <v>-0.027750887383026782</v>
      </c>
      <c r="L44" s="35">
        <v>0.013012770897832817</v>
      </c>
      <c r="M44" s="35">
        <v>0.04171133915352019</v>
      </c>
      <c r="N44" s="35">
        <v>-1.8817312531454453</v>
      </c>
      <c r="O44" s="799"/>
      <c r="P44" s="799"/>
      <c r="Q44" s="799"/>
      <c r="R44" s="799"/>
      <c r="S44" s="799"/>
      <c r="T44" s="799"/>
      <c r="U44" s="799"/>
      <c r="V44" s="35">
        <v>-0.019458083287870524</v>
      </c>
      <c r="W44" s="35">
        <v>-0.001681711866700172</v>
      </c>
      <c r="X44" s="35">
        <v>-0.08206686930091185</v>
      </c>
      <c r="Y44" s="41" t="s">
        <v>214</v>
      </c>
      <c r="Z44" s="41" t="s">
        <v>214</v>
      </c>
      <c r="AA44" s="41" t="s">
        <v>214</v>
      </c>
      <c r="AB44" s="41" t="s">
        <v>214</v>
      </c>
      <c r="AC44" s="41" t="s">
        <v>214</v>
      </c>
      <c r="AD44" s="41" t="s">
        <v>214</v>
      </c>
      <c r="AE44" s="41" t="s">
        <v>214</v>
      </c>
      <c r="AF44" s="41" t="s">
        <v>214</v>
      </c>
      <c r="AG44" s="41"/>
      <c r="AH44" s="41"/>
      <c r="AI44" s="41"/>
      <c r="AJ44" s="41"/>
      <c r="AK44" s="41"/>
      <c r="AL44" s="243"/>
      <c r="AM44" s="35">
        <v>0.08247939267907699</v>
      </c>
      <c r="AN44" s="35">
        <v>0.006118276429263193</v>
      </c>
      <c r="AO44" s="228">
        <v>7.636111624981378</v>
      </c>
      <c r="AP44" s="41"/>
      <c r="AQ44" s="243"/>
      <c r="AR44" s="35">
        <v>0.045391632246041175</v>
      </c>
      <c r="AS44" s="35">
        <v>-1.8817312531454453</v>
      </c>
      <c r="AT44" s="822"/>
      <c r="AU44" s="820"/>
      <c r="AV44" s="820"/>
      <c r="AW44" s="820"/>
      <c r="AX44" s="41" t="s">
        <v>214</v>
      </c>
      <c r="AY44" s="41" t="s">
        <v>214</v>
      </c>
      <c r="AZ44" s="573" t="s">
        <v>214</v>
      </c>
      <c r="BA44" s="358"/>
      <c r="BB44" s="148"/>
      <c r="BD44" s="3"/>
      <c r="BG44" s="3"/>
    </row>
    <row r="45" spans="1:59" ht="12.75" customHeight="1">
      <c r="A45" s="144"/>
      <c r="B45" s="144"/>
      <c r="C45" s="31"/>
      <c r="D45" s="41"/>
      <c r="E45" s="41"/>
      <c r="F45" s="41"/>
      <c r="G45" s="41"/>
      <c r="H45" s="41"/>
      <c r="I45" s="41"/>
      <c r="J45" s="41"/>
      <c r="K45" s="41"/>
      <c r="L45" s="41"/>
      <c r="M45" s="41"/>
      <c r="N45" s="41"/>
      <c r="O45" s="820"/>
      <c r="P45" s="820"/>
      <c r="Q45" s="820"/>
      <c r="R45" s="820"/>
      <c r="S45" s="820"/>
      <c r="T45" s="820"/>
      <c r="U45" s="820"/>
      <c r="V45" s="41"/>
      <c r="W45" s="41"/>
      <c r="X45" s="41"/>
      <c r="Y45" s="41"/>
      <c r="Z45" s="41"/>
      <c r="AA45" s="41"/>
      <c r="AB45" s="41"/>
      <c r="AC45" s="148"/>
      <c r="AD45" s="83"/>
      <c r="AE45" s="83"/>
      <c r="AF45" s="83"/>
      <c r="AG45" s="83"/>
      <c r="AH45" s="186"/>
      <c r="AI45" s="186"/>
      <c r="AJ45" s="186"/>
      <c r="AK45" s="186"/>
      <c r="AL45" s="148"/>
      <c r="AM45" s="148"/>
      <c r="AN45" s="148"/>
      <c r="AO45" s="31"/>
      <c r="AP45" s="41"/>
      <c r="AQ45" s="148"/>
      <c r="AR45" s="35"/>
      <c r="AS45" s="35"/>
      <c r="AT45" s="822"/>
      <c r="AU45" s="822"/>
      <c r="AV45" s="823"/>
      <c r="AW45" s="821"/>
      <c r="AX45" s="31"/>
      <c r="AY45" s="359"/>
      <c r="AZ45" s="359"/>
      <c r="BA45" s="359"/>
      <c r="BB45" s="148"/>
      <c r="BD45" s="3"/>
      <c r="BG45" s="3"/>
    </row>
    <row r="46" spans="1:59" ht="13.5" customHeight="1">
      <c r="A46" s="779" t="s">
        <v>357</v>
      </c>
      <c r="B46" s="141"/>
      <c r="C46" s="31">
        <v>3756</v>
      </c>
      <c r="D46" s="41">
        <v>0.2466509062253743</v>
      </c>
      <c r="E46" s="41"/>
      <c r="F46" s="31">
        <v>0</v>
      </c>
      <c r="G46" s="31">
        <v>18984</v>
      </c>
      <c r="H46" s="31">
        <v>17655</v>
      </c>
      <c r="I46" s="31">
        <v>16125</v>
      </c>
      <c r="J46" s="31">
        <v>15936</v>
      </c>
      <c r="K46" s="31">
        <v>15228</v>
      </c>
      <c r="L46" s="31">
        <v>13122</v>
      </c>
      <c r="M46" s="31">
        <v>12583</v>
      </c>
      <c r="N46" s="31">
        <v>13087.2</v>
      </c>
      <c r="O46" s="821"/>
      <c r="P46" s="821"/>
      <c r="Q46" s="821"/>
      <c r="R46" s="821"/>
      <c r="S46" s="821"/>
      <c r="T46" s="821"/>
      <c r="U46" s="821"/>
      <c r="V46" s="31">
        <v>0</v>
      </c>
      <c r="W46" s="31">
        <v>423</v>
      </c>
      <c r="X46" s="31">
        <v>453</v>
      </c>
      <c r="Y46" s="31">
        <v>443</v>
      </c>
      <c r="Z46" s="31">
        <v>393</v>
      </c>
      <c r="AA46" s="31">
        <v>454</v>
      </c>
      <c r="AB46" s="31">
        <v>609</v>
      </c>
      <c r="AC46" s="31">
        <v>747</v>
      </c>
      <c r="AD46" s="31">
        <v>730</v>
      </c>
      <c r="AE46" s="31">
        <v>760</v>
      </c>
      <c r="AF46" s="31">
        <v>777</v>
      </c>
      <c r="AG46" s="31">
        <v>815</v>
      </c>
      <c r="AH46" s="31">
        <v>807</v>
      </c>
      <c r="AI46" s="31">
        <v>814</v>
      </c>
      <c r="AJ46" s="31">
        <v>745</v>
      </c>
      <c r="AK46" s="31">
        <v>712</v>
      </c>
      <c r="AL46" s="148"/>
      <c r="AM46" s="213">
        <v>18984</v>
      </c>
      <c r="AN46" s="213">
        <v>15228</v>
      </c>
      <c r="AO46" s="31">
        <v>3756</v>
      </c>
      <c r="AP46" s="41">
        <v>0.2466509062253743</v>
      </c>
      <c r="AQ46" s="148"/>
      <c r="AR46" s="31">
        <v>15936</v>
      </c>
      <c r="AS46" s="31">
        <v>13087.2</v>
      </c>
      <c r="AT46" s="821"/>
      <c r="AU46" s="821"/>
      <c r="AV46" s="821"/>
      <c r="AW46" s="821"/>
      <c r="AX46" s="31">
        <v>807</v>
      </c>
      <c r="AY46" s="779">
        <v>613</v>
      </c>
      <c r="AZ46" s="779">
        <v>380</v>
      </c>
      <c r="BA46" s="779">
        <v>237</v>
      </c>
      <c r="BB46" s="148"/>
      <c r="BD46" s="3"/>
      <c r="BG46" s="3"/>
    </row>
    <row r="47" spans="1:59" ht="12.75" customHeight="1">
      <c r="A47" s="145"/>
      <c r="B47" s="146"/>
      <c r="C47" s="31"/>
      <c r="D47" s="41"/>
      <c r="E47" s="41"/>
      <c r="F47" s="31"/>
      <c r="G47" s="31"/>
      <c r="H47" s="31"/>
      <c r="I47" s="31"/>
      <c r="J47" s="31"/>
      <c r="K47" s="31"/>
      <c r="L47" s="31"/>
      <c r="M47" s="31"/>
      <c r="N47" s="31"/>
      <c r="O47" s="821"/>
      <c r="P47" s="821"/>
      <c r="Q47" s="821"/>
      <c r="R47" s="821"/>
      <c r="S47" s="821"/>
      <c r="T47" s="821"/>
      <c r="U47" s="821"/>
      <c r="V47" s="31"/>
      <c r="W47" s="31"/>
      <c r="X47" s="31"/>
      <c r="Y47" s="31"/>
      <c r="Z47" s="31"/>
      <c r="AA47" s="31"/>
      <c r="AB47" s="31"/>
      <c r="AC47" s="31"/>
      <c r="AD47" s="31"/>
      <c r="AE47" s="31"/>
      <c r="AF47" s="31"/>
      <c r="AG47" s="31"/>
      <c r="AH47" s="31"/>
      <c r="AI47" s="31"/>
      <c r="AJ47" s="31"/>
      <c r="AK47" s="31"/>
      <c r="AL47" s="148"/>
      <c r="AM47" s="148"/>
      <c r="AN47" s="148"/>
      <c r="AO47" s="31"/>
      <c r="AP47" s="41"/>
      <c r="AQ47" s="148"/>
      <c r="AR47" s="31"/>
      <c r="AS47" s="31"/>
      <c r="AT47" s="821"/>
      <c r="AU47" s="821"/>
      <c r="AV47" s="821"/>
      <c r="AW47" s="821"/>
      <c r="AX47" s="31"/>
      <c r="AY47" s="144"/>
      <c r="AZ47" s="144"/>
      <c r="BA47" s="144"/>
      <c r="BB47" s="148"/>
      <c r="BD47" s="3"/>
      <c r="BG47" s="3"/>
    </row>
    <row r="48" spans="1:59" ht="12.75" customHeight="1">
      <c r="A48" s="145" t="s">
        <v>100</v>
      </c>
      <c r="B48" s="146"/>
      <c r="C48" s="31">
        <v>-4</v>
      </c>
      <c r="D48" s="41">
        <v>-0.013422818791946308</v>
      </c>
      <c r="E48" s="41"/>
      <c r="F48" s="31">
        <v>0</v>
      </c>
      <c r="G48" s="31">
        <v>294</v>
      </c>
      <c r="H48" s="31">
        <v>287</v>
      </c>
      <c r="I48" s="31">
        <v>289</v>
      </c>
      <c r="J48" s="31">
        <v>294</v>
      </c>
      <c r="K48" s="31">
        <v>298</v>
      </c>
      <c r="L48" s="31">
        <v>262</v>
      </c>
      <c r="M48" s="31">
        <v>267</v>
      </c>
      <c r="N48" s="31">
        <v>276</v>
      </c>
      <c r="O48" s="821"/>
      <c r="P48" s="821"/>
      <c r="Q48" s="821"/>
      <c r="R48" s="821"/>
      <c r="S48" s="821"/>
      <c r="T48" s="821"/>
      <c r="U48" s="821"/>
      <c r="V48" s="31">
        <v>680</v>
      </c>
      <c r="W48" s="31">
        <v>707</v>
      </c>
      <c r="X48" s="31">
        <v>698</v>
      </c>
      <c r="Y48" s="31">
        <v>688</v>
      </c>
      <c r="Z48" s="31">
        <v>700</v>
      </c>
      <c r="AA48" s="31">
        <v>725</v>
      </c>
      <c r="AB48" s="31">
        <v>744</v>
      </c>
      <c r="AC48" s="31">
        <v>760</v>
      </c>
      <c r="AD48" s="31">
        <v>762</v>
      </c>
      <c r="AE48" s="31">
        <v>772</v>
      </c>
      <c r="AF48" s="31">
        <v>784</v>
      </c>
      <c r="AG48" s="31">
        <v>757</v>
      </c>
      <c r="AH48" s="31">
        <v>728</v>
      </c>
      <c r="AI48" s="31">
        <v>725</v>
      </c>
      <c r="AJ48" s="31">
        <v>719</v>
      </c>
      <c r="AK48" s="31">
        <v>710</v>
      </c>
      <c r="AL48" s="148"/>
      <c r="AM48" s="213">
        <v>294</v>
      </c>
      <c r="AN48" s="213">
        <v>298</v>
      </c>
      <c r="AO48" s="31">
        <v>-4</v>
      </c>
      <c r="AP48" s="41">
        <v>-0.013422818791946308</v>
      </c>
      <c r="AQ48" s="148"/>
      <c r="AR48" s="31">
        <v>294</v>
      </c>
      <c r="AS48" s="31">
        <v>276</v>
      </c>
      <c r="AT48" s="821"/>
      <c r="AU48" s="821"/>
      <c r="AV48" s="821"/>
      <c r="AW48" s="821"/>
      <c r="AX48" s="31">
        <v>728</v>
      </c>
      <c r="AY48" s="779">
        <v>689</v>
      </c>
      <c r="AZ48" s="779">
        <v>657</v>
      </c>
      <c r="BA48" s="779">
        <v>623</v>
      </c>
      <c r="BB48" s="148"/>
      <c r="BD48" s="3"/>
      <c r="BG48" s="3"/>
    </row>
    <row r="49" spans="1:59" ht="13.5" customHeight="1">
      <c r="A49" s="227" t="s">
        <v>477</v>
      </c>
      <c r="B49" s="145"/>
      <c r="C49" s="31">
        <v>0</v>
      </c>
      <c r="D49" s="41">
        <v>0</v>
      </c>
      <c r="E49" s="41"/>
      <c r="F49" s="31">
        <v>0</v>
      </c>
      <c r="G49" s="31">
        <v>119</v>
      </c>
      <c r="H49" s="31">
        <v>115</v>
      </c>
      <c r="I49" s="31">
        <v>119</v>
      </c>
      <c r="J49" s="31">
        <v>122</v>
      </c>
      <c r="K49" s="31">
        <v>119</v>
      </c>
      <c r="L49" s="31">
        <v>96</v>
      </c>
      <c r="M49" s="31">
        <v>98</v>
      </c>
      <c r="N49" s="31">
        <v>106</v>
      </c>
      <c r="O49" s="821"/>
      <c r="P49" s="821"/>
      <c r="Q49" s="821"/>
      <c r="R49" s="821"/>
      <c r="S49" s="821"/>
      <c r="T49" s="821"/>
      <c r="U49" s="821"/>
      <c r="V49" s="31">
        <v>0</v>
      </c>
      <c r="W49" s="31">
        <v>0</v>
      </c>
      <c r="X49" s="31">
        <v>0</v>
      </c>
      <c r="Y49" s="31">
        <v>0</v>
      </c>
      <c r="Z49" s="31">
        <v>0</v>
      </c>
      <c r="AA49" s="31">
        <v>0</v>
      </c>
      <c r="AB49" s="31">
        <v>0</v>
      </c>
      <c r="AC49" s="31">
        <v>0</v>
      </c>
      <c r="AD49" s="31">
        <v>0</v>
      </c>
      <c r="AE49" s="31">
        <v>0</v>
      </c>
      <c r="AF49" s="31">
        <v>0</v>
      </c>
      <c r="AG49" s="31">
        <v>0</v>
      </c>
      <c r="AH49" s="31">
        <v>0</v>
      </c>
      <c r="AI49" s="31">
        <v>0</v>
      </c>
      <c r="AJ49" s="31">
        <v>0</v>
      </c>
      <c r="AK49" s="31">
        <v>0</v>
      </c>
      <c r="AL49" s="148"/>
      <c r="AM49" s="213">
        <v>119</v>
      </c>
      <c r="AN49" s="213">
        <v>119</v>
      </c>
      <c r="AO49" s="31">
        <v>0</v>
      </c>
      <c r="AP49" s="41">
        <v>0</v>
      </c>
      <c r="AQ49" s="148"/>
      <c r="AR49" s="31">
        <v>122</v>
      </c>
      <c r="AS49" s="31">
        <v>106</v>
      </c>
      <c r="AT49" s="821"/>
      <c r="AU49" s="821"/>
      <c r="AV49" s="821"/>
      <c r="AW49" s="821"/>
      <c r="AX49" s="31"/>
      <c r="AY49" s="779"/>
      <c r="AZ49" s="779"/>
      <c r="BA49" s="779"/>
      <c r="BB49" s="148"/>
      <c r="BD49" s="3"/>
      <c r="BG49" s="3"/>
    </row>
    <row r="50" spans="1:59" ht="12.75" customHeight="1">
      <c r="A50" s="7"/>
      <c r="B50" s="7"/>
      <c r="C50" s="148"/>
      <c r="D50" s="148"/>
      <c r="E50" s="148"/>
      <c r="F50" s="148"/>
      <c r="G50" s="148"/>
      <c r="H50" s="148"/>
      <c r="I50" s="7"/>
      <c r="J50" s="148"/>
      <c r="K50" s="148"/>
      <c r="L50" s="148"/>
      <c r="M50" s="7"/>
      <c r="N50" s="148"/>
      <c r="O50" s="148"/>
      <c r="P50" s="148"/>
      <c r="Q50" s="7"/>
      <c r="R50" s="148"/>
      <c r="S50" s="148"/>
      <c r="T50" s="148"/>
      <c r="U50" s="7"/>
      <c r="V50" s="148"/>
      <c r="W50" s="148"/>
      <c r="X50" s="148"/>
      <c r="Y50" s="7"/>
      <c r="Z50" s="148"/>
      <c r="AA50" s="148"/>
      <c r="AB50" s="148"/>
      <c r="AC50" s="7"/>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4"/>
      <c r="AZ50" s="83"/>
      <c r="BA50" s="83"/>
      <c r="BB50" s="148"/>
      <c r="BD50" s="3"/>
      <c r="BG50" s="3"/>
    </row>
    <row r="51" spans="1:59" ht="18" customHeight="1">
      <c r="A51" s="12" t="s">
        <v>324</v>
      </c>
      <c r="B51" s="7"/>
      <c r="C51" s="83"/>
      <c r="D51" s="83"/>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83"/>
      <c r="AG51" s="83"/>
      <c r="AH51" s="83"/>
      <c r="AI51" s="83"/>
      <c r="AJ51" s="83"/>
      <c r="AK51" s="83"/>
      <c r="AL51" s="83"/>
      <c r="AM51" s="83"/>
      <c r="AN51" s="83"/>
      <c r="AO51" s="148"/>
      <c r="AP51" s="148"/>
      <c r="AQ51" s="83"/>
      <c r="AR51" s="83"/>
      <c r="AS51" s="83"/>
      <c r="AT51" s="83"/>
      <c r="AU51" s="83"/>
      <c r="AV51" s="83"/>
      <c r="AW51" s="83"/>
      <c r="AX51" s="83"/>
      <c r="AY51" s="144"/>
      <c r="AZ51" s="83"/>
      <c r="BA51" s="83"/>
      <c r="BB51" s="148"/>
      <c r="BD51" s="3"/>
      <c r="BG51" s="3"/>
    </row>
    <row r="52" spans="1:59" ht="12.75" customHeight="1">
      <c r="A52" s="193"/>
      <c r="B52" s="7"/>
      <c r="C52" s="83"/>
      <c r="D52" s="83"/>
      <c r="E52" s="148"/>
      <c r="F52" s="468"/>
      <c r="G52" s="468"/>
      <c r="H52" s="468"/>
      <c r="I52" s="148"/>
      <c r="J52" s="468"/>
      <c r="K52" s="468"/>
      <c r="L52" s="468"/>
      <c r="M52" s="148"/>
      <c r="N52" s="468"/>
      <c r="O52" s="148"/>
      <c r="P52" s="468"/>
      <c r="Q52" s="148"/>
      <c r="R52" s="468"/>
      <c r="S52" s="148"/>
      <c r="T52" s="468"/>
      <c r="U52" s="148"/>
      <c r="V52" s="468"/>
      <c r="W52" s="148"/>
      <c r="X52" s="468"/>
      <c r="Y52" s="148"/>
      <c r="Z52" s="468"/>
      <c r="AA52" s="148"/>
      <c r="AB52" s="148"/>
      <c r="AC52" s="148"/>
      <c r="AD52" s="148"/>
      <c r="AE52" s="148"/>
      <c r="AF52" s="83"/>
      <c r="AG52" s="83"/>
      <c r="AH52" s="83"/>
      <c r="AI52" s="83"/>
      <c r="AJ52" s="83"/>
      <c r="AK52" s="83"/>
      <c r="AL52" s="83"/>
      <c r="AM52" s="83"/>
      <c r="AN52" s="83"/>
      <c r="AO52" s="148"/>
      <c r="AP52" s="148"/>
      <c r="AQ52" s="83"/>
      <c r="AR52" s="83"/>
      <c r="AS52" s="83"/>
      <c r="AT52" s="83"/>
      <c r="AU52" s="83"/>
      <c r="AV52" s="83"/>
      <c r="AW52" s="83"/>
      <c r="AX52" s="83"/>
      <c r="AY52" s="357"/>
      <c r="AZ52" s="357"/>
      <c r="BA52" s="357"/>
      <c r="BB52" s="148"/>
      <c r="BD52" s="3"/>
      <c r="BG52" s="3"/>
    </row>
    <row r="53" spans="1:59" ht="12.75" customHeight="1">
      <c r="A53" s="6"/>
      <c r="B53" s="7"/>
      <c r="C53" s="1437" t="s">
        <v>497</v>
      </c>
      <c r="D53" s="1438"/>
      <c r="E53" s="259"/>
      <c r="F53" s="477"/>
      <c r="G53" s="477"/>
      <c r="H53" s="477"/>
      <c r="I53" s="19"/>
      <c r="J53" s="477"/>
      <c r="K53" s="477"/>
      <c r="L53" s="477"/>
      <c r="M53" s="19"/>
      <c r="N53" s="17"/>
      <c r="O53" s="18"/>
      <c r="P53" s="477"/>
      <c r="Q53" s="19"/>
      <c r="R53" s="17"/>
      <c r="S53" s="18"/>
      <c r="T53" s="477"/>
      <c r="U53" s="19"/>
      <c r="W53" s="18"/>
      <c r="X53" s="2"/>
      <c r="Y53" s="19"/>
      <c r="Z53" s="18"/>
      <c r="AB53" s="477"/>
      <c r="AC53" s="19"/>
      <c r="AD53" s="18"/>
      <c r="AE53" s="18"/>
      <c r="AF53" s="18"/>
      <c r="AG53" s="18"/>
      <c r="AH53" s="22"/>
      <c r="AI53" s="19"/>
      <c r="AJ53" s="19"/>
      <c r="AK53" s="19"/>
      <c r="AL53" s="24"/>
      <c r="AM53" s="725" t="s">
        <v>406</v>
      </c>
      <c r="AN53" s="711"/>
      <c r="AO53" s="711" t="s">
        <v>480</v>
      </c>
      <c r="AP53" s="712"/>
      <c r="AQ53" s="15"/>
      <c r="AR53" s="88"/>
      <c r="AS53" s="88"/>
      <c r="AT53" s="88"/>
      <c r="AU53" s="88"/>
      <c r="AV53" s="88"/>
      <c r="AW53" s="196"/>
      <c r="AX53" s="194"/>
      <c r="AY53" s="88"/>
      <c r="AZ53" s="88"/>
      <c r="BA53" s="88"/>
      <c r="BB53" s="164"/>
      <c r="BD53" s="3"/>
      <c r="BG53" s="3"/>
    </row>
    <row r="54" spans="1:59" ht="12.75" customHeight="1">
      <c r="A54" s="6" t="s">
        <v>107</v>
      </c>
      <c r="B54" s="7"/>
      <c r="C54" s="1439" t="s">
        <v>41</v>
      </c>
      <c r="D54" s="1440"/>
      <c r="E54" s="603"/>
      <c r="F54" s="21" t="s">
        <v>431</v>
      </c>
      <c r="G54" s="21" t="s">
        <v>430</v>
      </c>
      <c r="H54" s="21" t="s">
        <v>429</v>
      </c>
      <c r="I54" s="14" t="s">
        <v>427</v>
      </c>
      <c r="J54" s="21" t="s">
        <v>362</v>
      </c>
      <c r="K54" s="21" t="s">
        <v>363</v>
      </c>
      <c r="L54" s="21" t="s">
        <v>364</v>
      </c>
      <c r="M54" s="14" t="s">
        <v>365</v>
      </c>
      <c r="N54" s="20" t="s">
        <v>277</v>
      </c>
      <c r="O54" s="21" t="s">
        <v>278</v>
      </c>
      <c r="P54" s="21" t="s">
        <v>279</v>
      </c>
      <c r="Q54" s="14" t="s">
        <v>276</v>
      </c>
      <c r="R54" s="20" t="s">
        <v>222</v>
      </c>
      <c r="S54" s="21" t="s">
        <v>223</v>
      </c>
      <c r="T54" s="21" t="s">
        <v>224</v>
      </c>
      <c r="U54" s="14" t="s">
        <v>225</v>
      </c>
      <c r="V54" s="21" t="s">
        <v>141</v>
      </c>
      <c r="W54" s="21" t="s">
        <v>140</v>
      </c>
      <c r="X54" s="21" t="s">
        <v>139</v>
      </c>
      <c r="Y54" s="14" t="s">
        <v>138</v>
      </c>
      <c r="Z54" s="21" t="s">
        <v>91</v>
      </c>
      <c r="AA54" s="21" t="s">
        <v>92</v>
      </c>
      <c r="AB54" s="21" t="s">
        <v>93</v>
      </c>
      <c r="AC54" s="14" t="s">
        <v>32</v>
      </c>
      <c r="AD54" s="21" t="s">
        <v>33</v>
      </c>
      <c r="AE54" s="21" t="s">
        <v>34</v>
      </c>
      <c r="AF54" s="21" t="s">
        <v>35</v>
      </c>
      <c r="AG54" s="21" t="s">
        <v>36</v>
      </c>
      <c r="AH54" s="23" t="s">
        <v>37</v>
      </c>
      <c r="AI54" s="14" t="s">
        <v>38</v>
      </c>
      <c r="AJ54" s="14" t="s">
        <v>39</v>
      </c>
      <c r="AK54" s="14" t="s">
        <v>40</v>
      </c>
      <c r="AL54" s="259"/>
      <c r="AM54" s="21" t="s">
        <v>430</v>
      </c>
      <c r="AN54" s="21" t="s">
        <v>363</v>
      </c>
      <c r="AO54" s="1454" t="s">
        <v>41</v>
      </c>
      <c r="AP54" s="1440"/>
      <c r="AQ54" s="197"/>
      <c r="AR54" s="20" t="s">
        <v>367</v>
      </c>
      <c r="AS54" s="20" t="s">
        <v>285</v>
      </c>
      <c r="AT54" s="20" t="s">
        <v>143</v>
      </c>
      <c r="AU54" s="20" t="s">
        <v>142</v>
      </c>
      <c r="AV54" s="20" t="s">
        <v>45</v>
      </c>
      <c r="AW54" s="20" t="s">
        <v>42</v>
      </c>
      <c r="AX54" s="23" t="s">
        <v>43</v>
      </c>
      <c r="AY54" s="23" t="s">
        <v>165</v>
      </c>
      <c r="AZ54" s="23" t="s">
        <v>166</v>
      </c>
      <c r="BA54" s="23" t="s">
        <v>167</v>
      </c>
      <c r="BB54" s="164"/>
      <c r="BD54" s="3"/>
      <c r="BG54" s="3"/>
    </row>
    <row r="55" spans="1:59" ht="12.75" customHeight="1">
      <c r="A55" s="147"/>
      <c r="B55" s="148" t="s">
        <v>4</v>
      </c>
      <c r="C55" s="464">
        <v>2226</v>
      </c>
      <c r="D55" s="41">
        <v>0.08978702807357213</v>
      </c>
      <c r="E55" s="89"/>
      <c r="F55" s="380">
        <v>0</v>
      </c>
      <c r="G55" s="380">
        <v>27018</v>
      </c>
      <c r="H55" s="380">
        <v>25830</v>
      </c>
      <c r="I55" s="424">
        <v>26978</v>
      </c>
      <c r="J55" s="380">
        <v>26706</v>
      </c>
      <c r="K55" s="380">
        <v>24792</v>
      </c>
      <c r="L55" s="380">
        <v>20672</v>
      </c>
      <c r="M55" s="424">
        <v>19587</v>
      </c>
      <c r="N55" s="380">
        <v>1987</v>
      </c>
      <c r="O55" s="823"/>
      <c r="P55" s="823"/>
      <c r="Q55" s="824"/>
      <c r="R55" s="823"/>
      <c r="S55" s="823"/>
      <c r="T55" s="823"/>
      <c r="U55" s="824"/>
      <c r="V55" s="380">
        <v>54990</v>
      </c>
      <c r="W55" s="380">
        <v>51733</v>
      </c>
      <c r="X55" s="380">
        <v>40138</v>
      </c>
      <c r="Y55" s="424">
        <v>40185</v>
      </c>
      <c r="Z55" s="390">
        <v>37255</v>
      </c>
      <c r="AA55" s="380">
        <v>33532</v>
      </c>
      <c r="AB55" s="380">
        <v>43844</v>
      </c>
      <c r="AC55" s="424">
        <v>57853</v>
      </c>
      <c r="AD55" s="174">
        <v>54463</v>
      </c>
      <c r="AE55" s="212">
        <v>61166</v>
      </c>
      <c r="AF55" s="212">
        <v>57415</v>
      </c>
      <c r="AG55" s="216">
        <v>76083</v>
      </c>
      <c r="AH55" s="226">
        <v>75876</v>
      </c>
      <c r="AI55" s="216">
        <v>68831</v>
      </c>
      <c r="AJ55" s="216">
        <v>55626</v>
      </c>
      <c r="AK55" s="225">
        <v>72286</v>
      </c>
      <c r="AL55" s="89"/>
      <c r="AM55" s="230">
        <v>79826</v>
      </c>
      <c r="AN55" s="213">
        <v>65051</v>
      </c>
      <c r="AO55" s="540">
        <v>14775</v>
      </c>
      <c r="AP55" s="539">
        <v>0.2271294830210143</v>
      </c>
      <c r="AQ55" s="83"/>
      <c r="AR55" s="179">
        <v>91757</v>
      </c>
      <c r="AS55" s="179">
        <v>1987</v>
      </c>
      <c r="AT55" s="827"/>
      <c r="AU55" s="827"/>
      <c r="AV55" s="827"/>
      <c r="AW55" s="827"/>
      <c r="AX55" s="226">
        <v>272619</v>
      </c>
      <c r="AY55" s="226">
        <v>225194</v>
      </c>
      <c r="AZ55" s="226">
        <v>178176</v>
      </c>
      <c r="BA55" s="226">
        <v>175983</v>
      </c>
      <c r="BB55" s="164"/>
      <c r="BD55" s="3"/>
      <c r="BG55" s="3"/>
    </row>
    <row r="56" spans="1:59" ht="12.75" customHeight="1">
      <c r="A56" s="83"/>
      <c r="B56" s="148" t="s">
        <v>90</v>
      </c>
      <c r="C56" s="84">
        <v>712</v>
      </c>
      <c r="D56" s="41">
        <v>0.03451451839643221</v>
      </c>
      <c r="E56" s="606"/>
      <c r="F56" s="466" t="e">
        <v>#REF!</v>
      </c>
      <c r="G56" s="466">
        <v>21341</v>
      </c>
      <c r="H56" s="466">
        <v>20391</v>
      </c>
      <c r="I56" s="424">
        <v>20237</v>
      </c>
      <c r="J56" s="466">
        <v>18686</v>
      </c>
      <c r="K56" s="466">
        <v>20629</v>
      </c>
      <c r="L56" s="466">
        <v>15875</v>
      </c>
      <c r="M56" s="424">
        <v>16562</v>
      </c>
      <c r="N56" s="466">
        <v>1649</v>
      </c>
      <c r="O56" s="823"/>
      <c r="P56" s="823"/>
      <c r="Q56" s="824"/>
      <c r="R56" s="823"/>
      <c r="S56" s="823"/>
      <c r="T56" s="823"/>
      <c r="U56" s="823"/>
      <c r="V56" s="466">
        <v>46835</v>
      </c>
      <c r="W56" s="466">
        <v>42047</v>
      </c>
      <c r="X56" s="466">
        <v>35213</v>
      </c>
      <c r="Y56" s="424">
        <v>35168</v>
      </c>
      <c r="Z56" s="466">
        <v>28967</v>
      </c>
      <c r="AA56" s="466">
        <v>34689</v>
      </c>
      <c r="AB56" s="466">
        <v>35911</v>
      </c>
      <c r="AC56" s="424">
        <v>44683</v>
      </c>
      <c r="AD56" s="174">
        <v>43703</v>
      </c>
      <c r="AE56" s="212">
        <v>48132</v>
      </c>
      <c r="AF56" s="212">
        <v>44039</v>
      </c>
      <c r="AG56" s="216">
        <v>57148</v>
      </c>
      <c r="AH56" s="161">
        <v>55349</v>
      </c>
      <c r="AI56" s="216">
        <v>50178</v>
      </c>
      <c r="AJ56" s="216">
        <v>41346</v>
      </c>
      <c r="AK56" s="216">
        <v>55217</v>
      </c>
      <c r="AL56" s="89"/>
      <c r="AM56" s="231">
        <v>61969</v>
      </c>
      <c r="AN56" s="213">
        <v>53066</v>
      </c>
      <c r="AO56" s="31">
        <v>8903</v>
      </c>
      <c r="AP56" s="30">
        <v>0.16777220819357028</v>
      </c>
      <c r="AQ56" s="83"/>
      <c r="AR56" s="179">
        <v>71752</v>
      </c>
      <c r="AS56" s="179">
        <v>1649</v>
      </c>
      <c r="AT56" s="827"/>
      <c r="AU56" s="827"/>
      <c r="AV56" s="827"/>
      <c r="AW56" s="827"/>
      <c r="AX56" s="161">
        <v>202090</v>
      </c>
      <c r="AY56" s="161">
        <v>163976</v>
      </c>
      <c r="AZ56" s="161">
        <v>127504</v>
      </c>
      <c r="BA56" s="161">
        <v>118638</v>
      </c>
      <c r="BB56" s="164"/>
      <c r="BD56" s="3"/>
      <c r="BG56" s="3"/>
    </row>
    <row r="57" spans="1:59" ht="24">
      <c r="A57" s="83"/>
      <c r="B57" s="546" t="s">
        <v>216</v>
      </c>
      <c r="C57" s="84">
        <v>1514</v>
      </c>
      <c r="D57" s="41">
        <v>0.36368003843382174</v>
      </c>
      <c r="E57" s="606"/>
      <c r="F57" s="466" t="e">
        <v>#REF!</v>
      </c>
      <c r="G57" s="466">
        <v>5677</v>
      </c>
      <c r="H57" s="466">
        <v>5439</v>
      </c>
      <c r="I57" s="424">
        <v>6741</v>
      </c>
      <c r="J57" s="466">
        <v>8020</v>
      </c>
      <c r="K57" s="466">
        <v>4163</v>
      </c>
      <c r="L57" s="466">
        <v>4797</v>
      </c>
      <c r="M57" s="424">
        <v>3025</v>
      </c>
      <c r="N57" s="466">
        <v>338</v>
      </c>
      <c r="O57" s="823"/>
      <c r="P57" s="823"/>
      <c r="Q57" s="824"/>
      <c r="R57" s="823"/>
      <c r="S57" s="823"/>
      <c r="T57" s="823"/>
      <c r="U57" s="823"/>
      <c r="V57" s="466">
        <v>8155</v>
      </c>
      <c r="W57" s="466">
        <v>9686</v>
      </c>
      <c r="X57" s="466">
        <v>4925</v>
      </c>
      <c r="Y57" s="424">
        <v>5017</v>
      </c>
      <c r="Z57" s="466">
        <v>8288</v>
      </c>
      <c r="AA57" s="466">
        <v>-1157</v>
      </c>
      <c r="AB57" s="466">
        <v>7933</v>
      </c>
      <c r="AC57" s="424">
        <v>13170</v>
      </c>
      <c r="AD57" s="174">
        <v>10760</v>
      </c>
      <c r="AE57" s="212">
        <v>13034</v>
      </c>
      <c r="AF57" s="212">
        <v>13376</v>
      </c>
      <c r="AG57" s="216">
        <v>18935</v>
      </c>
      <c r="AH57" s="161">
        <v>20527</v>
      </c>
      <c r="AI57" s="216">
        <v>18653</v>
      </c>
      <c r="AJ57" s="216">
        <v>14280</v>
      </c>
      <c r="AK57" s="216">
        <v>17069</v>
      </c>
      <c r="AL57" s="89"/>
      <c r="AM57" s="231">
        <v>17857</v>
      </c>
      <c r="AN57" s="213">
        <v>11985</v>
      </c>
      <c r="AO57" s="31">
        <v>5872</v>
      </c>
      <c r="AP57" s="30">
        <v>0.48994576554025865</v>
      </c>
      <c r="AQ57" s="83"/>
      <c r="AR57" s="179">
        <v>20005</v>
      </c>
      <c r="AS57" s="179">
        <v>338</v>
      </c>
      <c r="AT57" s="827"/>
      <c r="AU57" s="827"/>
      <c r="AV57" s="827"/>
      <c r="AW57" s="827"/>
      <c r="AX57" s="161">
        <v>70529</v>
      </c>
      <c r="AY57" s="161">
        <v>61218</v>
      </c>
      <c r="AZ57" s="161">
        <v>50672</v>
      </c>
      <c r="BA57" s="161">
        <v>57345</v>
      </c>
      <c r="BB57" s="164"/>
      <c r="BD57" s="3"/>
      <c r="BG57" s="3"/>
    </row>
    <row r="58" spans="1:59" ht="12.75">
      <c r="A58" s="83"/>
      <c r="B58" s="546" t="s">
        <v>82</v>
      </c>
      <c r="C58" s="154">
        <v>1082</v>
      </c>
      <c r="D58" s="149">
        <v>0.4471074380165289</v>
      </c>
      <c r="E58" s="606"/>
      <c r="F58" s="474" t="e">
        <v>#REF!</v>
      </c>
      <c r="G58" s="474">
        <v>3502</v>
      </c>
      <c r="H58" s="474">
        <v>3559</v>
      </c>
      <c r="I58" s="426">
        <v>5108</v>
      </c>
      <c r="J58" s="474">
        <v>6251</v>
      </c>
      <c r="K58" s="474">
        <v>2420</v>
      </c>
      <c r="L58" s="474">
        <v>2783</v>
      </c>
      <c r="M58" s="426">
        <v>1815</v>
      </c>
      <c r="N58" s="474">
        <v>338</v>
      </c>
      <c r="O58" s="825"/>
      <c r="P58" s="825"/>
      <c r="Q58" s="826"/>
      <c r="R58" s="825"/>
      <c r="S58" s="825"/>
      <c r="T58" s="825"/>
      <c r="U58" s="826"/>
      <c r="V58" s="474"/>
      <c r="W58" s="474"/>
      <c r="X58" s="474"/>
      <c r="Y58" s="426"/>
      <c r="Z58" s="474"/>
      <c r="AA58" s="474"/>
      <c r="AB58" s="474"/>
      <c r="AC58" s="426"/>
      <c r="AD58" s="211"/>
      <c r="AE58" s="218"/>
      <c r="AF58" s="218"/>
      <c r="AG58" s="219"/>
      <c r="AH58" s="206"/>
      <c r="AI58" s="219"/>
      <c r="AJ58" s="219"/>
      <c r="AK58" s="219"/>
      <c r="AL58" s="89"/>
      <c r="AM58" s="474">
        <v>12169</v>
      </c>
      <c r="AN58" s="393">
        <v>7018</v>
      </c>
      <c r="AO58" s="474">
        <v>5151</v>
      </c>
      <c r="AP58" s="149">
        <v>0.7339697919635224</v>
      </c>
      <c r="AQ58" s="83"/>
      <c r="AR58" s="198">
        <v>13269</v>
      </c>
      <c r="AS58" s="198">
        <v>338</v>
      </c>
      <c r="AT58" s="828"/>
      <c r="AU58" s="828"/>
      <c r="AV58" s="828"/>
      <c r="AW58" s="828"/>
      <c r="AX58" s="206"/>
      <c r="AY58" s="206"/>
      <c r="AZ58" s="206"/>
      <c r="BA58" s="206"/>
      <c r="BB58" s="164"/>
      <c r="BD58" s="3"/>
      <c r="BG58" s="3"/>
    </row>
    <row r="59" spans="1:59" ht="12.75" customHeight="1">
      <c r="A59" s="83"/>
      <c r="B59" s="148"/>
      <c r="C59" s="153"/>
      <c r="D59" s="11"/>
      <c r="E59" s="11"/>
      <c r="F59" s="11"/>
      <c r="G59" s="11"/>
      <c r="H59" s="11"/>
      <c r="I59" s="148"/>
      <c r="J59" s="11"/>
      <c r="K59" s="11"/>
      <c r="L59" s="11"/>
      <c r="M59" s="148"/>
      <c r="N59" s="488"/>
      <c r="O59" s="11"/>
      <c r="P59" s="11"/>
      <c r="Q59" s="148"/>
      <c r="R59" s="11"/>
      <c r="S59" s="11"/>
      <c r="T59" s="11"/>
      <c r="U59" s="148"/>
      <c r="V59" s="11"/>
      <c r="W59" s="11"/>
      <c r="X59" s="11"/>
      <c r="Y59" s="148"/>
      <c r="Z59" s="11"/>
      <c r="AA59" s="11"/>
      <c r="AB59" s="11"/>
      <c r="AC59" s="148"/>
      <c r="AD59" s="83"/>
      <c r="AE59" s="83"/>
      <c r="AF59" s="83"/>
      <c r="AG59" s="83"/>
      <c r="AH59" s="83"/>
      <c r="AI59" s="83"/>
      <c r="AJ59" s="83"/>
      <c r="AK59" s="83"/>
      <c r="AL59" s="148"/>
      <c r="AM59" s="148"/>
      <c r="AN59" s="213"/>
      <c r="AO59" s="153"/>
      <c r="AP59" s="11"/>
      <c r="AQ59" s="148"/>
      <c r="AR59" s="148"/>
      <c r="AS59" s="148"/>
      <c r="AT59" s="148"/>
      <c r="AU59" s="148"/>
      <c r="AV59" s="148"/>
      <c r="AW59" s="83"/>
      <c r="AX59" s="83"/>
      <c r="AY59" s="31"/>
      <c r="AZ59" s="31"/>
      <c r="BA59" s="31"/>
      <c r="BB59" s="148"/>
      <c r="BD59" s="3"/>
      <c r="BG59" s="3"/>
    </row>
    <row r="60" spans="1:59" ht="12.75" customHeight="1">
      <c r="A60" s="83"/>
      <c r="B60" s="145" t="s">
        <v>85</v>
      </c>
      <c r="C60" s="228">
        <v>-3.1759598509387144</v>
      </c>
      <c r="D60" s="11"/>
      <c r="E60" s="11"/>
      <c r="F60" s="11" t="e">
        <v>#REF!</v>
      </c>
      <c r="G60" s="11">
        <v>0.30520393811533053</v>
      </c>
      <c r="H60" s="11">
        <v>0.2981029810298103</v>
      </c>
      <c r="I60" s="11">
        <v>0.26851508636666915</v>
      </c>
      <c r="J60" s="11">
        <v>0.26623230734666364</v>
      </c>
      <c r="K60" s="11">
        <v>0.3369635366247177</v>
      </c>
      <c r="L60" s="11">
        <v>0.26620549535603716</v>
      </c>
      <c r="M60" s="11">
        <v>0.37106243937305355</v>
      </c>
      <c r="N60" s="11">
        <v>0.2536487166582788</v>
      </c>
      <c r="O60" s="822"/>
      <c r="P60" s="822"/>
      <c r="Q60" s="822"/>
      <c r="R60" s="822"/>
      <c r="S60" s="822"/>
      <c r="T60" s="822"/>
      <c r="U60" s="822"/>
      <c r="V60" s="11">
        <v>0.2738497908710675</v>
      </c>
      <c r="W60" s="11">
        <v>0.26397077300755806</v>
      </c>
      <c r="X60" s="11">
        <v>0.28613782450545616</v>
      </c>
      <c r="Y60" s="11">
        <v>0.3055617767823815</v>
      </c>
      <c r="Z60" s="11">
        <v>0.30438867266138775</v>
      </c>
      <c r="AA60" s="11">
        <v>0.5200107360133603</v>
      </c>
      <c r="AB60" s="11">
        <v>0.28095064318949003</v>
      </c>
      <c r="AC60" s="11">
        <v>0.2411629474703127</v>
      </c>
      <c r="AD60" s="35">
        <v>0.27273561867689994</v>
      </c>
      <c r="AE60" s="35">
        <v>0.268</v>
      </c>
      <c r="AF60" s="35">
        <v>0.264</v>
      </c>
      <c r="AG60" s="35">
        <v>0.20299999999999996</v>
      </c>
      <c r="AH60" s="35">
        <v>0.19</v>
      </c>
      <c r="AI60" s="35">
        <v>0.22199999999999998</v>
      </c>
      <c r="AJ60" s="35">
        <v>0.244</v>
      </c>
      <c r="AK60" s="35">
        <v>0.255</v>
      </c>
      <c r="AL60" s="148"/>
      <c r="AM60" s="11">
        <v>0.29050685240397867</v>
      </c>
      <c r="AN60" s="11">
        <v>0.30940339118537763</v>
      </c>
      <c r="AO60" s="228">
        <v>-1.8896538781398964</v>
      </c>
      <c r="AP60" s="11"/>
      <c r="AQ60" s="148"/>
      <c r="AR60" s="11">
        <v>0.3494447290125004</v>
      </c>
      <c r="AS60" s="11">
        <v>0.2536487166582788</v>
      </c>
      <c r="AT60" s="822"/>
      <c r="AU60" s="822"/>
      <c r="AV60" s="822"/>
      <c r="AW60" s="822"/>
      <c r="AX60" s="35">
        <v>0.22599999999999998</v>
      </c>
      <c r="AY60" s="358">
        <v>0.20299999999999996</v>
      </c>
      <c r="AZ60" s="358">
        <v>0.18</v>
      </c>
      <c r="BA60" s="358">
        <v>0.14600000000000002</v>
      </c>
      <c r="BB60" s="148"/>
      <c r="BD60" s="3"/>
      <c r="BG60" s="3"/>
    </row>
    <row r="61" spans="1:59" ht="12.75" customHeight="1">
      <c r="A61" s="83"/>
      <c r="B61" s="145" t="s">
        <v>86</v>
      </c>
      <c r="C61" s="228">
        <v>-4.220210978346728</v>
      </c>
      <c r="D61" s="11"/>
      <c r="E61" s="11"/>
      <c r="F61" s="11" t="e">
        <v>#REF!</v>
      </c>
      <c r="G61" s="11">
        <v>0.7898808201939448</v>
      </c>
      <c r="H61" s="11">
        <v>0.7894308943089431</v>
      </c>
      <c r="I61" s="11">
        <v>0.7501297353399066</v>
      </c>
      <c r="J61" s="11">
        <v>0.6996929528944806</v>
      </c>
      <c r="K61" s="11">
        <v>0.8320829299774121</v>
      </c>
      <c r="L61" s="11">
        <v>0.7679469814241486</v>
      </c>
      <c r="M61" s="11">
        <v>0.8455608311635269</v>
      </c>
      <c r="N61" s="11">
        <v>0.8298943130347257</v>
      </c>
      <c r="O61" s="822"/>
      <c r="P61" s="822"/>
      <c r="Q61" s="822"/>
      <c r="R61" s="822"/>
      <c r="S61" s="822"/>
      <c r="T61" s="822"/>
      <c r="U61" s="822"/>
      <c r="V61" s="11">
        <v>0.8517003091471177</v>
      </c>
      <c r="W61" s="11">
        <v>0.8127694121740475</v>
      </c>
      <c r="X61" s="11">
        <v>0.8772983207932632</v>
      </c>
      <c r="Y61" s="11">
        <v>0.8751524200572353</v>
      </c>
      <c r="Z61" s="11">
        <v>0.7775332170178499</v>
      </c>
      <c r="AA61" s="11">
        <v>1.0345043540498629</v>
      </c>
      <c r="AB61" s="11">
        <v>0.8190630416932762</v>
      </c>
      <c r="AC61" s="11">
        <v>0.7723540697975905</v>
      </c>
      <c r="AD61" s="35">
        <v>0.8024346804252428</v>
      </c>
      <c r="AE61" s="35">
        <v>0.787</v>
      </c>
      <c r="AF61" s="35">
        <v>0.767</v>
      </c>
      <c r="AG61" s="35">
        <v>0.751</v>
      </c>
      <c r="AH61" s="35">
        <v>0.729</v>
      </c>
      <c r="AI61" s="35">
        <v>0.729</v>
      </c>
      <c r="AJ61" s="35">
        <v>0.743</v>
      </c>
      <c r="AK61" s="35">
        <v>0.764</v>
      </c>
      <c r="AL61" s="148"/>
      <c r="AM61" s="11">
        <v>0.7763009545762033</v>
      </c>
      <c r="AN61" s="11">
        <v>0.8157599421991976</v>
      </c>
      <c r="AO61" s="228">
        <v>-3.945898762299427</v>
      </c>
      <c r="AP61" s="11"/>
      <c r="AQ61" s="148"/>
      <c r="AR61" s="11">
        <v>0.781978486654969</v>
      </c>
      <c r="AS61" s="11">
        <v>0.8298943130347257</v>
      </c>
      <c r="AT61" s="822"/>
      <c r="AU61" s="822"/>
      <c r="AV61" s="822"/>
      <c r="AW61" s="822"/>
      <c r="AX61" s="35">
        <v>0.741</v>
      </c>
      <c r="AY61" s="358">
        <v>0.728</v>
      </c>
      <c r="AZ61" s="358">
        <v>0.716</v>
      </c>
      <c r="BA61" s="358">
        <v>0.674</v>
      </c>
      <c r="BB61" s="148"/>
      <c r="BD61" s="3"/>
      <c r="BG61" s="3"/>
    </row>
    <row r="62" spans="1:56" ht="12.75" customHeight="1">
      <c r="A62" s="83"/>
      <c r="B62" s="145" t="s">
        <v>215</v>
      </c>
      <c r="C62" s="228">
        <v>4.220210978346728</v>
      </c>
      <c r="D62" s="11"/>
      <c r="E62" s="11"/>
      <c r="F62" s="11" t="e">
        <v>#REF!</v>
      </c>
      <c r="G62" s="11">
        <v>0.2101191798060552</v>
      </c>
      <c r="H62" s="11">
        <v>0.2105691056910569</v>
      </c>
      <c r="I62" s="11">
        <v>0.2498702646600934</v>
      </c>
      <c r="J62" s="11">
        <v>0.30030704710551936</v>
      </c>
      <c r="K62" s="11">
        <v>0.16791707002258793</v>
      </c>
      <c r="L62" s="11">
        <v>0.2320530185758514</v>
      </c>
      <c r="M62" s="11">
        <v>0.15443916883647318</v>
      </c>
      <c r="N62" s="11">
        <v>0.17010568696527428</v>
      </c>
      <c r="O62" s="822"/>
      <c r="P62" s="822"/>
      <c r="Q62" s="822"/>
      <c r="R62" s="822"/>
      <c r="S62" s="822"/>
      <c r="T62" s="822"/>
      <c r="U62" s="822"/>
      <c r="V62" s="11">
        <v>0.14829969085288233</v>
      </c>
      <c r="W62" s="11">
        <v>0.18723058782595248</v>
      </c>
      <c r="X62" s="11">
        <v>0.12270167920673676</v>
      </c>
      <c r="Y62" s="11">
        <v>0.12484757994276471</v>
      </c>
      <c r="Z62" s="11">
        <v>0.22246678298215006</v>
      </c>
      <c r="AA62" s="11">
        <v>-0.034504354049862816</v>
      </c>
      <c r="AB62" s="11">
        <v>0.18093695830672385</v>
      </c>
      <c r="AC62" s="11">
        <v>0.22764593020240956</v>
      </c>
      <c r="AD62" s="35">
        <v>0.19756531957475718</v>
      </c>
      <c r="AE62" s="35">
        <v>0.21299999999999997</v>
      </c>
      <c r="AF62" s="35">
        <v>0.23299999999999998</v>
      </c>
      <c r="AG62" s="35">
        <v>0.249</v>
      </c>
      <c r="AH62" s="35">
        <v>0.271</v>
      </c>
      <c r="AI62" s="35">
        <v>0.271</v>
      </c>
      <c r="AJ62" s="35">
        <v>0.257</v>
      </c>
      <c r="AK62" s="35">
        <v>0.236</v>
      </c>
      <c r="AL62" s="148"/>
      <c r="AM62" s="11">
        <v>0.22369904542379676</v>
      </c>
      <c r="AN62" s="11">
        <v>0.18424005780080244</v>
      </c>
      <c r="AO62" s="228">
        <v>3.945898762299432</v>
      </c>
      <c r="AP62" s="11"/>
      <c r="AQ62" s="148"/>
      <c r="AR62" s="11">
        <v>0.2180215133450309</v>
      </c>
      <c r="AS62" s="11">
        <v>0.17010568696527428</v>
      </c>
      <c r="AT62" s="822"/>
      <c r="AU62" s="822"/>
      <c r="AV62" s="822"/>
      <c r="AW62" s="822"/>
      <c r="AX62" s="35">
        <v>0.259</v>
      </c>
      <c r="AY62" s="358">
        <v>0.272</v>
      </c>
      <c r="AZ62" s="358">
        <v>0.28400000000000003</v>
      </c>
      <c r="BA62" s="358">
        <v>0.32599999999999996</v>
      </c>
      <c r="BB62" s="148"/>
      <c r="BD62" s="3"/>
    </row>
    <row r="63" spans="1:56" ht="12.75" customHeight="1">
      <c r="A63" s="83"/>
      <c r="B63" s="145"/>
      <c r="C63" s="228"/>
      <c r="D63" s="11"/>
      <c r="E63" s="11"/>
      <c r="F63" s="11"/>
      <c r="G63" s="11"/>
      <c r="H63" s="11"/>
      <c r="I63" s="11"/>
      <c r="J63" s="11"/>
      <c r="K63" s="11"/>
      <c r="L63" s="11"/>
      <c r="M63" s="11"/>
      <c r="P63" s="11"/>
      <c r="Q63" s="11"/>
      <c r="R63" s="11"/>
      <c r="S63" s="11"/>
      <c r="T63" s="11"/>
      <c r="U63" s="11"/>
      <c r="V63" s="11"/>
      <c r="W63" s="11"/>
      <c r="X63" s="11"/>
      <c r="Y63" s="11"/>
      <c r="Z63" s="11"/>
      <c r="AA63" s="11"/>
      <c r="AB63" s="11"/>
      <c r="AC63" s="11"/>
      <c r="AD63" s="35"/>
      <c r="AE63" s="35"/>
      <c r="AF63" s="35"/>
      <c r="AG63" s="35"/>
      <c r="AH63" s="35"/>
      <c r="AI63" s="35"/>
      <c r="AJ63" s="35"/>
      <c r="AK63" s="35"/>
      <c r="AL63" s="148"/>
      <c r="AM63" s="148"/>
      <c r="AN63" s="148"/>
      <c r="AO63" s="228"/>
      <c r="AP63" s="11"/>
      <c r="AQ63" s="148"/>
      <c r="AR63" s="35"/>
      <c r="AS63" s="35"/>
      <c r="AT63" s="35"/>
      <c r="AU63" s="35"/>
      <c r="AV63" s="35"/>
      <c r="AW63" s="35"/>
      <c r="AX63" s="35"/>
      <c r="AY63" s="358"/>
      <c r="AZ63" s="358"/>
      <c r="BA63" s="358"/>
      <c r="BB63" s="148"/>
      <c r="BD63" s="3"/>
    </row>
    <row r="64" spans="1:56" ht="12.75" customHeight="1">
      <c r="A64" s="12" t="s">
        <v>227</v>
      </c>
      <c r="B64" s="145"/>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7"/>
      <c r="AH64" s="148"/>
      <c r="AI64" s="7"/>
      <c r="AJ64" s="7"/>
      <c r="AK64" s="148"/>
      <c r="AL64" s="148"/>
      <c r="AM64" s="148"/>
      <c r="AN64" s="148"/>
      <c r="AO64" s="148"/>
      <c r="AP64" s="148"/>
      <c r="AQ64" s="148"/>
      <c r="AR64" s="148"/>
      <c r="AS64" s="148"/>
      <c r="AT64" s="148"/>
      <c r="AU64" s="148"/>
      <c r="AV64" s="148"/>
      <c r="AW64" s="148"/>
      <c r="AX64" s="148"/>
      <c r="AY64" s="31"/>
      <c r="AZ64" s="358"/>
      <c r="BA64" s="358"/>
      <c r="BB64" s="148"/>
      <c r="BD64" s="3"/>
    </row>
    <row r="65" spans="3:56" ht="12.75" customHeight="1">
      <c r="C65" s="1437" t="s">
        <v>497</v>
      </c>
      <c r="D65" s="1438"/>
      <c r="E65" s="259"/>
      <c r="F65" s="477"/>
      <c r="G65" s="477"/>
      <c r="H65" s="477"/>
      <c r="I65" s="19"/>
      <c r="J65" s="477"/>
      <c r="K65" s="477"/>
      <c r="L65" s="477"/>
      <c r="M65" s="19"/>
      <c r="N65" s="17"/>
      <c r="O65" s="18"/>
      <c r="P65" s="477"/>
      <c r="Q65" s="19"/>
      <c r="R65" s="17"/>
      <c r="S65" s="18"/>
      <c r="T65" s="477"/>
      <c r="U65" s="19"/>
      <c r="W65" s="18"/>
      <c r="X65" s="2"/>
      <c r="Y65" s="19"/>
      <c r="Z65" s="18"/>
      <c r="AB65" s="477"/>
      <c r="AC65" s="19"/>
      <c r="AD65" s="18"/>
      <c r="AE65" s="18"/>
      <c r="AF65" s="18"/>
      <c r="AG65" s="18"/>
      <c r="AH65" s="22"/>
      <c r="AI65" s="19"/>
      <c r="AJ65" s="19"/>
      <c r="AK65" s="19"/>
      <c r="AL65" s="24"/>
      <c r="AM65" s="725" t="s">
        <v>406</v>
      </c>
      <c r="AN65" s="711"/>
      <c r="AO65" s="711" t="s">
        <v>480</v>
      </c>
      <c r="AP65" s="712"/>
      <c r="AQ65" s="148"/>
      <c r="AR65" s="88"/>
      <c r="AS65" s="88"/>
      <c r="AT65" s="88"/>
      <c r="AU65" s="88"/>
      <c r="AV65" s="88"/>
      <c r="AW65" s="196"/>
      <c r="AX65" s="194"/>
      <c r="AY65" s="88"/>
      <c r="AZ65" s="358"/>
      <c r="BA65" s="358"/>
      <c r="BB65" s="164"/>
      <c r="BD65" s="3"/>
    </row>
    <row r="66" spans="3:56" ht="12.75" customHeight="1">
      <c r="C66" s="1439" t="s">
        <v>41</v>
      </c>
      <c r="D66" s="1440"/>
      <c r="E66" s="603"/>
      <c r="F66" s="21" t="s">
        <v>431</v>
      </c>
      <c r="G66" s="21" t="s">
        <v>430</v>
      </c>
      <c r="H66" s="21" t="s">
        <v>429</v>
      </c>
      <c r="I66" s="14" t="s">
        <v>427</v>
      </c>
      <c r="J66" s="21" t="s">
        <v>362</v>
      </c>
      <c r="K66" s="21" t="s">
        <v>363</v>
      </c>
      <c r="L66" s="21" t="s">
        <v>364</v>
      </c>
      <c r="M66" s="14" t="s">
        <v>365</v>
      </c>
      <c r="N66" s="20" t="s">
        <v>277</v>
      </c>
      <c r="O66" s="21" t="s">
        <v>278</v>
      </c>
      <c r="P66" s="21" t="s">
        <v>279</v>
      </c>
      <c r="Q66" s="14" t="s">
        <v>276</v>
      </c>
      <c r="R66" s="20" t="s">
        <v>222</v>
      </c>
      <c r="S66" s="21" t="s">
        <v>223</v>
      </c>
      <c r="T66" s="21" t="s">
        <v>224</v>
      </c>
      <c r="U66" s="14" t="s">
        <v>225</v>
      </c>
      <c r="V66" s="21" t="s">
        <v>141</v>
      </c>
      <c r="W66" s="21" t="s">
        <v>140</v>
      </c>
      <c r="X66" s="21" t="s">
        <v>139</v>
      </c>
      <c r="Y66" s="14" t="s">
        <v>138</v>
      </c>
      <c r="Z66" s="21" t="s">
        <v>91</v>
      </c>
      <c r="AA66" s="21" t="s">
        <v>92</v>
      </c>
      <c r="AB66" s="21" t="s">
        <v>93</v>
      </c>
      <c r="AC66" s="14" t="s">
        <v>32</v>
      </c>
      <c r="AD66" s="21" t="s">
        <v>33</v>
      </c>
      <c r="AE66" s="21" t="s">
        <v>34</v>
      </c>
      <c r="AF66" s="21" t="s">
        <v>35</v>
      </c>
      <c r="AG66" s="21" t="s">
        <v>36</v>
      </c>
      <c r="AH66" s="23" t="s">
        <v>37</v>
      </c>
      <c r="AI66" s="14" t="s">
        <v>38</v>
      </c>
      <c r="AJ66" s="14" t="s">
        <v>39</v>
      </c>
      <c r="AK66" s="14" t="s">
        <v>40</v>
      </c>
      <c r="AL66" s="259"/>
      <c r="AM66" s="21" t="s">
        <v>430</v>
      </c>
      <c r="AN66" s="21" t="s">
        <v>363</v>
      </c>
      <c r="AO66" s="1454" t="s">
        <v>41</v>
      </c>
      <c r="AP66" s="1440"/>
      <c r="AQ66" s="148"/>
      <c r="AR66" s="20" t="s">
        <v>367</v>
      </c>
      <c r="AS66" s="20" t="s">
        <v>285</v>
      </c>
      <c r="AT66" s="20" t="s">
        <v>143</v>
      </c>
      <c r="AU66" s="20" t="s">
        <v>142</v>
      </c>
      <c r="AV66" s="20" t="s">
        <v>45</v>
      </c>
      <c r="AW66" s="20" t="s">
        <v>42</v>
      </c>
      <c r="AX66" s="23" t="s">
        <v>43</v>
      </c>
      <c r="AY66" s="23" t="s">
        <v>165</v>
      </c>
      <c r="AZ66" s="358"/>
      <c r="BA66" s="358"/>
      <c r="BB66" s="164"/>
      <c r="BD66" s="3"/>
    </row>
    <row r="67" spans="1:56" ht="12.75" customHeight="1">
      <c r="A67" s="83"/>
      <c r="B67" s="7" t="s">
        <v>407</v>
      </c>
      <c r="C67" s="84">
        <v>1817</v>
      </c>
      <c r="D67" s="554">
        <v>0.07495565364465162</v>
      </c>
      <c r="E67" s="89"/>
      <c r="F67" s="466"/>
      <c r="G67" s="466">
        <v>26058</v>
      </c>
      <c r="H67" s="466">
        <v>25005</v>
      </c>
      <c r="I67" s="443">
        <v>25887</v>
      </c>
      <c r="J67" s="466">
        <v>25703</v>
      </c>
      <c r="K67" s="466">
        <v>24241</v>
      </c>
      <c r="L67" s="466">
        <v>20399</v>
      </c>
      <c r="M67" s="443">
        <v>19364</v>
      </c>
      <c r="N67" s="466">
        <v>1931</v>
      </c>
      <c r="O67" s="799"/>
      <c r="P67" s="799"/>
      <c r="Q67" s="807"/>
      <c r="R67" s="823"/>
      <c r="S67" s="799"/>
      <c r="T67" s="799"/>
      <c r="U67" s="807"/>
      <c r="V67" s="466">
        <v>38197</v>
      </c>
      <c r="W67" s="466">
        <v>34040</v>
      </c>
      <c r="X67" s="466">
        <v>30370</v>
      </c>
      <c r="Y67" s="443">
        <v>29756</v>
      </c>
      <c r="Z67" s="231">
        <v>24593</v>
      </c>
      <c r="AA67" s="496">
        <v>27916</v>
      </c>
      <c r="AB67" s="612">
        <v>32886</v>
      </c>
      <c r="AC67" s="443">
        <v>42504</v>
      </c>
      <c r="AD67" s="424">
        <v>29584</v>
      </c>
      <c r="AE67" s="148"/>
      <c r="AF67" s="148"/>
      <c r="AG67" s="7"/>
      <c r="AH67" s="148"/>
      <c r="AI67" s="7"/>
      <c r="AJ67" s="7"/>
      <c r="AK67" s="148"/>
      <c r="AL67" s="89"/>
      <c r="AM67" s="380">
        <v>76950</v>
      </c>
      <c r="AN67" s="213">
        <v>64004</v>
      </c>
      <c r="AO67" s="613">
        <v>12946</v>
      </c>
      <c r="AP67" s="539">
        <v>0.20226860821198675</v>
      </c>
      <c r="AQ67" s="148"/>
      <c r="AR67" s="179">
        <v>89707</v>
      </c>
      <c r="AS67" s="179">
        <v>1931</v>
      </c>
      <c r="AT67" s="823"/>
      <c r="AU67" s="827"/>
      <c r="AV67" s="827"/>
      <c r="AW67" s="831"/>
      <c r="AX67" s="226">
        <v>177862</v>
      </c>
      <c r="AY67" s="360">
        <v>150224</v>
      </c>
      <c r="AZ67" s="358"/>
      <c r="BA67" s="358"/>
      <c r="BB67" s="164"/>
      <c r="BD67" s="3"/>
    </row>
    <row r="68" spans="1:56" ht="12.75" customHeight="1">
      <c r="A68" s="83"/>
      <c r="B68" s="7" t="s">
        <v>70</v>
      </c>
      <c r="C68" s="84">
        <v>58</v>
      </c>
      <c r="D68" s="554">
        <v>0.3118279569892473</v>
      </c>
      <c r="E68" s="89"/>
      <c r="F68" s="213"/>
      <c r="G68" s="213">
        <v>244</v>
      </c>
      <c r="H68" s="213">
        <v>12</v>
      </c>
      <c r="I68" s="168">
        <v>0</v>
      </c>
      <c r="J68" s="213">
        <v>134</v>
      </c>
      <c r="K68" s="213">
        <v>186</v>
      </c>
      <c r="L68" s="213">
        <v>86</v>
      </c>
      <c r="M68" s="443">
        <v>48</v>
      </c>
      <c r="N68" s="466">
        <v>1</v>
      </c>
      <c r="O68" s="799"/>
      <c r="P68" s="799"/>
      <c r="Q68" s="807"/>
      <c r="R68" s="823"/>
      <c r="S68" s="799"/>
      <c r="T68" s="799"/>
      <c r="U68" s="807"/>
      <c r="V68" s="466">
        <v>10808</v>
      </c>
      <c r="W68" s="466">
        <v>10384</v>
      </c>
      <c r="X68" s="466">
        <v>6254</v>
      </c>
      <c r="Y68" s="443">
        <v>5954</v>
      </c>
      <c r="Z68" s="231">
        <v>5426</v>
      </c>
      <c r="AA68" s="466">
        <v>1798</v>
      </c>
      <c r="AB68" s="443">
        <v>5110</v>
      </c>
      <c r="AC68" s="443">
        <v>8533</v>
      </c>
      <c r="AD68" s="424">
        <v>68274</v>
      </c>
      <c r="AE68" s="148"/>
      <c r="AF68" s="148"/>
      <c r="AG68" s="7"/>
      <c r="AH68" s="148"/>
      <c r="AI68" s="7"/>
      <c r="AJ68" s="7"/>
      <c r="AK68" s="148"/>
      <c r="AL68" s="89"/>
      <c r="AM68" s="842">
        <v>256</v>
      </c>
      <c r="AN68" s="213">
        <v>320</v>
      </c>
      <c r="AO68" s="610">
        <v>-64</v>
      </c>
      <c r="AP68" s="30">
        <v>-0.2</v>
      </c>
      <c r="AQ68" s="148"/>
      <c r="AR68" s="179">
        <v>454</v>
      </c>
      <c r="AS68" s="179">
        <v>1</v>
      </c>
      <c r="AT68" s="827"/>
      <c r="AU68" s="827"/>
      <c r="AV68" s="827"/>
      <c r="AW68" s="832"/>
      <c r="AX68" s="161">
        <v>62132</v>
      </c>
      <c r="AY68" s="43">
        <v>49772</v>
      </c>
      <c r="AZ68" s="358"/>
      <c r="BA68" s="358"/>
      <c r="BB68" s="164"/>
      <c r="BD68" s="3"/>
    </row>
    <row r="69" spans="1:56" ht="12.75" customHeight="1">
      <c r="A69" s="83"/>
      <c r="B69" s="7" t="s">
        <v>255</v>
      </c>
      <c r="C69" s="84">
        <v>0</v>
      </c>
      <c r="D69" s="554">
        <v>0</v>
      </c>
      <c r="E69" s="89"/>
      <c r="F69" s="213"/>
      <c r="G69" s="213">
        <v>0</v>
      </c>
      <c r="H69" s="213">
        <v>0</v>
      </c>
      <c r="I69" s="168">
        <v>0</v>
      </c>
      <c r="J69" s="213">
        <v>0</v>
      </c>
      <c r="K69" s="213">
        <v>0</v>
      </c>
      <c r="L69" s="213">
        <v>0</v>
      </c>
      <c r="M69" s="168">
        <v>0</v>
      </c>
      <c r="N69" s="213">
        <v>0</v>
      </c>
      <c r="O69" s="799"/>
      <c r="P69" s="799"/>
      <c r="Q69" s="807"/>
      <c r="R69" s="799"/>
      <c r="S69" s="799"/>
      <c r="T69" s="799"/>
      <c r="U69" s="807"/>
      <c r="V69" s="213">
        <v>0</v>
      </c>
      <c r="W69" s="213">
        <v>0</v>
      </c>
      <c r="X69" s="213">
        <v>0</v>
      </c>
      <c r="Y69" s="168">
        <v>0</v>
      </c>
      <c r="Z69" s="213">
        <v>0</v>
      </c>
      <c r="AA69" s="213">
        <v>0</v>
      </c>
      <c r="AB69" s="168">
        <v>0</v>
      </c>
      <c r="AC69" s="168">
        <v>0</v>
      </c>
      <c r="AD69" s="213">
        <v>0</v>
      </c>
      <c r="AE69" s="213"/>
      <c r="AF69" s="213"/>
      <c r="AG69" s="213"/>
      <c r="AH69" s="213"/>
      <c r="AI69" s="213"/>
      <c r="AJ69" s="213"/>
      <c r="AK69" s="213"/>
      <c r="AL69" s="177"/>
      <c r="AM69" s="842">
        <v>0</v>
      </c>
      <c r="AN69" s="213">
        <v>0</v>
      </c>
      <c r="AO69" s="840">
        <v>0</v>
      </c>
      <c r="AP69" s="30">
        <v>0</v>
      </c>
      <c r="AQ69" s="213"/>
      <c r="AR69" s="177">
        <v>0</v>
      </c>
      <c r="AS69" s="177">
        <v>0</v>
      </c>
      <c r="AT69" s="827"/>
      <c r="AU69" s="827"/>
      <c r="AV69" s="827"/>
      <c r="AW69" s="832"/>
      <c r="AX69" s="177">
        <v>0</v>
      </c>
      <c r="AY69" s="177">
        <v>0</v>
      </c>
      <c r="AZ69" s="358"/>
      <c r="BA69" s="358"/>
      <c r="BB69" s="164"/>
      <c r="BD69" s="3"/>
    </row>
    <row r="70" spans="1:56" ht="12.75" customHeight="1">
      <c r="A70" s="83"/>
      <c r="B70" s="7" t="s">
        <v>71</v>
      </c>
      <c r="C70" s="84">
        <v>0</v>
      </c>
      <c r="D70" s="554">
        <v>0</v>
      </c>
      <c r="E70" s="89"/>
      <c r="F70" s="213"/>
      <c r="G70" s="213">
        <v>0</v>
      </c>
      <c r="H70" s="213">
        <v>0</v>
      </c>
      <c r="I70" s="168">
        <v>0</v>
      </c>
      <c r="J70" s="213">
        <v>0</v>
      </c>
      <c r="K70" s="213">
        <v>0</v>
      </c>
      <c r="L70" s="213">
        <v>0</v>
      </c>
      <c r="M70" s="168">
        <v>0</v>
      </c>
      <c r="N70" s="213">
        <v>0</v>
      </c>
      <c r="O70" s="799"/>
      <c r="P70" s="799"/>
      <c r="Q70" s="807"/>
      <c r="R70" s="823"/>
      <c r="S70" s="799"/>
      <c r="T70" s="799"/>
      <c r="U70" s="807"/>
      <c r="V70" s="466">
        <v>408</v>
      </c>
      <c r="W70" s="466">
        <v>4280</v>
      </c>
      <c r="X70" s="466">
        <v>850</v>
      </c>
      <c r="Y70" s="443">
        <v>1696</v>
      </c>
      <c r="Z70" s="231">
        <v>198</v>
      </c>
      <c r="AA70" s="466">
        <v>-649</v>
      </c>
      <c r="AB70" s="443">
        <v>-226</v>
      </c>
      <c r="AC70" s="443">
        <v>548</v>
      </c>
      <c r="AD70" s="424">
        <v>5363</v>
      </c>
      <c r="AE70" s="148"/>
      <c r="AF70" s="148"/>
      <c r="AG70" s="7"/>
      <c r="AH70" s="148"/>
      <c r="AI70" s="7"/>
      <c r="AJ70" s="7"/>
      <c r="AK70" s="148"/>
      <c r="AL70" s="89"/>
      <c r="AM70" s="842">
        <v>0</v>
      </c>
      <c r="AN70" s="213">
        <v>0</v>
      </c>
      <c r="AO70" s="840">
        <v>0</v>
      </c>
      <c r="AP70" s="30">
        <v>0</v>
      </c>
      <c r="AQ70" s="148"/>
      <c r="AR70" s="177">
        <v>0</v>
      </c>
      <c r="AS70" s="177">
        <v>0</v>
      </c>
      <c r="AT70" s="827"/>
      <c r="AU70" s="827"/>
      <c r="AV70" s="827"/>
      <c r="AW70" s="832"/>
      <c r="AX70" s="161">
        <v>4992</v>
      </c>
      <c r="AY70" s="43">
        <v>5670</v>
      </c>
      <c r="AZ70" s="358"/>
      <c r="BA70" s="358"/>
      <c r="BB70" s="164"/>
      <c r="BD70" s="3"/>
    </row>
    <row r="71" spans="1:56" ht="12.75" customHeight="1">
      <c r="A71" s="83"/>
      <c r="B71" s="7" t="s">
        <v>72</v>
      </c>
      <c r="C71" s="84">
        <v>257</v>
      </c>
      <c r="D71" s="554">
        <v>1.028</v>
      </c>
      <c r="E71" s="89"/>
      <c r="F71" s="466"/>
      <c r="G71" s="466">
        <v>507</v>
      </c>
      <c r="H71" s="466">
        <v>575</v>
      </c>
      <c r="I71" s="443">
        <v>718</v>
      </c>
      <c r="J71" s="466">
        <v>762</v>
      </c>
      <c r="K71" s="466">
        <v>250</v>
      </c>
      <c r="L71" s="466">
        <v>192</v>
      </c>
      <c r="M71" s="443">
        <v>191</v>
      </c>
      <c r="N71" s="466">
        <v>15</v>
      </c>
      <c r="O71" s="799"/>
      <c r="P71" s="799"/>
      <c r="Q71" s="807"/>
      <c r="R71" s="823"/>
      <c r="S71" s="799"/>
      <c r="T71" s="799"/>
      <c r="U71" s="807"/>
      <c r="V71" s="466">
        <v>2191</v>
      </c>
      <c r="W71" s="466">
        <v>2171</v>
      </c>
      <c r="X71" s="466">
        <v>2224</v>
      </c>
      <c r="Y71" s="443">
        <v>2325</v>
      </c>
      <c r="Z71" s="231">
        <v>6358</v>
      </c>
      <c r="AA71" s="466">
        <v>4010</v>
      </c>
      <c r="AB71" s="443">
        <v>5644</v>
      </c>
      <c r="AC71" s="443">
        <v>5891</v>
      </c>
      <c r="AD71" s="424">
        <v>1512</v>
      </c>
      <c r="AE71" s="148"/>
      <c r="AF71" s="148"/>
      <c r="AG71" s="7"/>
      <c r="AH71" s="148"/>
      <c r="AI71" s="7"/>
      <c r="AJ71" s="7"/>
      <c r="AK71" s="148"/>
      <c r="AL71" s="89"/>
      <c r="AM71" s="380">
        <v>1800</v>
      </c>
      <c r="AN71" s="213">
        <v>633</v>
      </c>
      <c r="AO71" s="610">
        <v>1167</v>
      </c>
      <c r="AP71" s="30">
        <v>1.8436018957345972</v>
      </c>
      <c r="AQ71" s="148"/>
      <c r="AR71" s="179">
        <v>1395</v>
      </c>
      <c r="AS71" s="179">
        <v>15</v>
      </c>
      <c r="AT71" s="827"/>
      <c r="AU71" s="827"/>
      <c r="AV71" s="827"/>
      <c r="AW71" s="832"/>
      <c r="AX71" s="161">
        <v>26877</v>
      </c>
      <c r="AY71" s="43">
        <v>18354</v>
      </c>
      <c r="AZ71" s="358"/>
      <c r="BA71" s="358"/>
      <c r="BB71" s="164"/>
      <c r="BD71" s="3"/>
    </row>
    <row r="72" spans="1:56" ht="12.75" customHeight="1">
      <c r="A72" s="193"/>
      <c r="B72" s="7" t="s">
        <v>73</v>
      </c>
      <c r="C72" s="84">
        <v>94</v>
      </c>
      <c r="D72" s="554">
        <v>0.8173913043478261</v>
      </c>
      <c r="E72" s="608"/>
      <c r="F72" s="474"/>
      <c r="G72" s="474">
        <v>209</v>
      </c>
      <c r="H72" s="474">
        <v>238</v>
      </c>
      <c r="I72" s="427">
        <v>373</v>
      </c>
      <c r="J72" s="474">
        <v>107</v>
      </c>
      <c r="K72" s="474">
        <v>115</v>
      </c>
      <c r="L72" s="474">
        <v>-5</v>
      </c>
      <c r="M72" s="427">
        <v>-16</v>
      </c>
      <c r="N72" s="466">
        <v>40</v>
      </c>
      <c r="O72" s="799"/>
      <c r="P72" s="799"/>
      <c r="Q72" s="807"/>
      <c r="R72" s="823"/>
      <c r="S72" s="799"/>
      <c r="T72" s="799"/>
      <c r="U72" s="807"/>
      <c r="V72" s="466">
        <v>3386</v>
      </c>
      <c r="W72" s="466">
        <v>858</v>
      </c>
      <c r="X72" s="474">
        <v>440</v>
      </c>
      <c r="Y72" s="427">
        <v>454</v>
      </c>
      <c r="Z72" s="231">
        <v>680</v>
      </c>
      <c r="AA72" s="474">
        <v>457</v>
      </c>
      <c r="AB72" s="427">
        <v>430</v>
      </c>
      <c r="AC72" s="427">
        <v>377</v>
      </c>
      <c r="AD72" s="426">
        <v>60</v>
      </c>
      <c r="AE72" s="15"/>
      <c r="AF72" s="15"/>
      <c r="AG72" s="15"/>
      <c r="AH72" s="15"/>
      <c r="AI72" s="15"/>
      <c r="AJ72" s="15"/>
      <c r="AK72" s="15"/>
      <c r="AL72" s="89"/>
      <c r="AM72" s="380">
        <v>820</v>
      </c>
      <c r="AN72" s="213">
        <v>94</v>
      </c>
      <c r="AO72" s="611">
        <v>726</v>
      </c>
      <c r="AP72" s="30" t="s">
        <v>44</v>
      </c>
      <c r="AQ72" s="83"/>
      <c r="AR72" s="198">
        <v>201</v>
      </c>
      <c r="AS72" s="198">
        <v>40</v>
      </c>
      <c r="AT72" s="828"/>
      <c r="AU72" s="828"/>
      <c r="AV72" s="828"/>
      <c r="AW72" s="833"/>
      <c r="AX72" s="206">
        <v>756</v>
      </c>
      <c r="AY72" s="160">
        <v>1174</v>
      </c>
      <c r="AZ72" s="358"/>
      <c r="BA72" s="358"/>
      <c r="BB72" s="164"/>
      <c r="BD72" s="3"/>
    </row>
    <row r="73" spans="1:56" ht="12.75" customHeight="1">
      <c r="A73" s="193"/>
      <c r="B73" s="7"/>
      <c r="C73" s="578">
        <v>2226</v>
      </c>
      <c r="D73" s="748">
        <v>0.08978702807357213</v>
      </c>
      <c r="E73" s="24"/>
      <c r="F73" s="383">
        <v>0</v>
      </c>
      <c r="G73" s="383">
        <v>27018</v>
      </c>
      <c r="H73" s="383">
        <v>25830</v>
      </c>
      <c r="I73" s="581">
        <v>26978</v>
      </c>
      <c r="J73" s="383">
        <v>26706</v>
      </c>
      <c r="K73" s="383">
        <v>24792</v>
      </c>
      <c r="L73" s="383">
        <v>20672</v>
      </c>
      <c r="M73" s="581">
        <v>19587</v>
      </c>
      <c r="N73" s="383">
        <v>1987</v>
      </c>
      <c r="O73" s="829"/>
      <c r="P73" s="829"/>
      <c r="Q73" s="830"/>
      <c r="R73" s="829"/>
      <c r="S73" s="829"/>
      <c r="T73" s="829"/>
      <c r="U73" s="830"/>
      <c r="V73" s="383">
        <v>54990</v>
      </c>
      <c r="W73" s="383">
        <v>51733</v>
      </c>
      <c r="X73" s="383">
        <v>40138</v>
      </c>
      <c r="Y73" s="581">
        <v>40185</v>
      </c>
      <c r="Z73" s="382">
        <v>37255</v>
      </c>
      <c r="AA73" s="383">
        <v>33532</v>
      </c>
      <c r="AB73" s="581">
        <v>43844</v>
      </c>
      <c r="AC73" s="581">
        <v>57853</v>
      </c>
      <c r="AD73" s="581">
        <v>104793</v>
      </c>
      <c r="AE73" s="2"/>
      <c r="AF73" s="2"/>
      <c r="AG73" s="2"/>
      <c r="AH73" s="2"/>
      <c r="AI73" s="2"/>
      <c r="AJ73" s="2"/>
      <c r="AK73" s="2"/>
      <c r="AL73" s="24"/>
      <c r="AM73" s="383">
        <v>79826</v>
      </c>
      <c r="AN73" s="172">
        <v>65051</v>
      </c>
      <c r="AO73" s="623">
        <v>14775</v>
      </c>
      <c r="AP73" s="170">
        <v>0.2271294830210143</v>
      </c>
      <c r="AR73" s="382">
        <v>91757</v>
      </c>
      <c r="AS73" s="382">
        <v>1987</v>
      </c>
      <c r="AT73" s="834"/>
      <c r="AU73" s="834"/>
      <c r="AV73" s="835"/>
      <c r="AW73" s="829"/>
      <c r="AX73" s="580">
        <v>272619</v>
      </c>
      <c r="AY73" s="173">
        <v>225194</v>
      </c>
      <c r="AZ73" s="358"/>
      <c r="BA73" s="358"/>
      <c r="BB73" s="164"/>
      <c r="BD73" s="3"/>
    </row>
    <row r="74" spans="1:56" ht="12.75" customHeight="1">
      <c r="A74" s="7" t="s">
        <v>405</v>
      </c>
      <c r="B74" s="13"/>
      <c r="C74" s="13"/>
      <c r="D74" s="13"/>
      <c r="E74" s="13"/>
      <c r="F74" s="13"/>
      <c r="G74" s="13"/>
      <c r="H74" s="13"/>
      <c r="I74" s="15"/>
      <c r="J74" s="13"/>
      <c r="K74" s="13"/>
      <c r="L74" s="13"/>
      <c r="M74" s="15"/>
      <c r="N74" s="13"/>
      <c r="O74" s="13"/>
      <c r="P74" s="13"/>
      <c r="Q74" s="15"/>
      <c r="R74" s="13"/>
      <c r="S74" s="13"/>
      <c r="T74" s="13"/>
      <c r="U74" s="15"/>
      <c r="V74" s="13"/>
      <c r="W74" s="13"/>
      <c r="X74" s="13"/>
      <c r="Y74" s="15"/>
      <c r="Z74" s="13"/>
      <c r="AA74" s="13"/>
      <c r="AB74" s="13"/>
      <c r="AC74" s="15"/>
      <c r="AD74" s="15"/>
      <c r="AE74" s="15"/>
      <c r="AF74" s="15"/>
      <c r="AG74" s="15"/>
      <c r="AH74" s="15"/>
      <c r="AI74" s="15"/>
      <c r="AJ74" s="15"/>
      <c r="AK74" s="15"/>
      <c r="AL74" s="3"/>
      <c r="AM74" s="3"/>
      <c r="AN74" s="3"/>
      <c r="AO74" s="83"/>
      <c r="AP74" s="83"/>
      <c r="AW74" s="2"/>
      <c r="AX74" s="2"/>
      <c r="BA74" s="3"/>
      <c r="BB74" s="3"/>
      <c r="BD74" s="3"/>
    </row>
    <row r="75" spans="1:56" ht="12.75">
      <c r="A75" s="3"/>
      <c r="B75" s="3"/>
      <c r="C75" s="3"/>
      <c r="D75" s="3"/>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83"/>
      <c r="BA75" s="3"/>
      <c r="BB75" s="3"/>
      <c r="BD75" s="3"/>
    </row>
    <row r="76" spans="9:56" ht="12.75">
      <c r="I76" s="31"/>
      <c r="M76" s="31"/>
      <c r="N76" s="31"/>
      <c r="Q76" s="31"/>
      <c r="U76" s="31"/>
      <c r="Y76" s="31"/>
      <c r="AC76" s="31"/>
      <c r="AK76" s="31"/>
      <c r="AL76" s="3"/>
      <c r="AM76" s="3"/>
      <c r="AN76" s="3"/>
      <c r="AR76" s="31"/>
      <c r="AS76" s="31"/>
      <c r="AW76" s="31"/>
      <c r="AX76" s="31"/>
      <c r="AY76" s="106"/>
      <c r="AZ76" s="106"/>
      <c r="BA76" s="3"/>
      <c r="BB76" s="3"/>
      <c r="BD76" s="3"/>
    </row>
    <row r="77" spans="9:56" ht="12.75">
      <c r="I77" s="31"/>
      <c r="M77" s="31"/>
      <c r="N77" s="31"/>
      <c r="Q77" s="31"/>
      <c r="U77" s="31"/>
      <c r="Y77" s="31"/>
      <c r="AC77" s="31"/>
      <c r="AK77" s="31"/>
      <c r="AL77" s="3"/>
      <c r="AM77" s="3"/>
      <c r="AN77" s="3"/>
      <c r="AR77" s="31"/>
      <c r="AS77" s="31"/>
      <c r="AW77" s="31"/>
      <c r="AX77" s="31"/>
      <c r="AY77" s="106"/>
      <c r="AZ77" s="106"/>
      <c r="BA77" s="3"/>
      <c r="BB77" s="3"/>
      <c r="BD77" s="3"/>
    </row>
    <row r="78" spans="9:52" ht="12.75">
      <c r="I78" s="31"/>
      <c r="M78" s="31"/>
      <c r="N78" s="31"/>
      <c r="Q78" s="31"/>
      <c r="U78" s="31"/>
      <c r="Y78" s="31"/>
      <c r="AC78" s="31"/>
      <c r="AK78" s="31"/>
      <c r="AL78" s="3"/>
      <c r="AM78" s="3"/>
      <c r="AN78" s="3"/>
      <c r="AR78" s="31"/>
      <c r="AS78" s="31"/>
      <c r="AW78" s="31"/>
      <c r="AX78" s="31"/>
      <c r="AZ78" s="106"/>
    </row>
    <row r="79" spans="9:52" ht="12.75">
      <c r="I79" s="31"/>
      <c r="M79" s="31"/>
      <c r="N79" s="31"/>
      <c r="Q79" s="31"/>
      <c r="U79" s="31"/>
      <c r="Y79" s="31"/>
      <c r="AC79" s="31"/>
      <c r="AK79" s="31"/>
      <c r="AL79" s="3"/>
      <c r="AM79" s="3"/>
      <c r="AN79" s="3"/>
      <c r="AR79" s="31"/>
      <c r="AS79" s="31"/>
      <c r="AW79" s="2"/>
      <c r="AX79" s="2"/>
      <c r="AZ79" s="106"/>
    </row>
    <row r="80" spans="9:52" ht="12.75">
      <c r="I80" s="2"/>
      <c r="M80" s="2"/>
      <c r="N80" s="31"/>
      <c r="Q80" s="2"/>
      <c r="U80" s="2"/>
      <c r="Y80" s="2"/>
      <c r="AC80" s="2"/>
      <c r="AK80" s="150"/>
      <c r="AL80" s="3"/>
      <c r="AM80" s="3"/>
      <c r="AN80" s="3"/>
      <c r="AR80" s="31"/>
      <c r="AS80" s="31"/>
      <c r="AW80" s="2"/>
      <c r="AX80" s="2"/>
      <c r="AZ80" s="106"/>
    </row>
    <row r="81" spans="9:50" ht="12.75">
      <c r="I81" s="2"/>
      <c r="M81" s="2"/>
      <c r="N81" s="31"/>
      <c r="Q81" s="2"/>
      <c r="U81" s="2"/>
      <c r="Y81" s="2"/>
      <c r="AC81" s="2"/>
      <c r="AK81" s="151"/>
      <c r="AL81" s="3"/>
      <c r="AM81" s="3"/>
      <c r="AN81" s="3"/>
      <c r="AR81" s="31"/>
      <c r="AS81" s="31"/>
      <c r="AW81" s="2"/>
      <c r="AX81" s="2"/>
    </row>
    <row r="82" spans="9:50" ht="12.75">
      <c r="I82" s="2"/>
      <c r="M82" s="2"/>
      <c r="Q82" s="2"/>
      <c r="U82" s="2"/>
      <c r="Y82" s="2"/>
      <c r="AC82" s="2"/>
      <c r="AK82" s="151"/>
      <c r="AL82" s="3"/>
      <c r="AM82" s="3"/>
      <c r="AN82" s="3"/>
      <c r="AW82" s="32"/>
      <c r="AX82" s="32"/>
    </row>
    <row r="83" spans="9:50" ht="12.75">
      <c r="I83" s="32"/>
      <c r="M83" s="32"/>
      <c r="Q83" s="32"/>
      <c r="U83" s="32"/>
      <c r="Y83" s="32"/>
      <c r="AC83" s="32"/>
      <c r="AK83" s="11"/>
      <c r="AL83" s="3"/>
      <c r="AM83" s="3"/>
      <c r="AN83" s="3"/>
      <c r="AW83" s="32"/>
      <c r="AX83" s="32"/>
    </row>
    <row r="84" spans="9:50" ht="12.75">
      <c r="I84" s="32"/>
      <c r="M84" s="32"/>
      <c r="Q84" s="32"/>
      <c r="U84" s="32"/>
      <c r="Y84" s="32"/>
      <c r="AC84" s="32"/>
      <c r="AK84" s="11"/>
      <c r="AL84" s="3"/>
      <c r="AM84" s="3"/>
      <c r="AN84" s="3"/>
      <c r="AW84" s="32"/>
      <c r="AX84" s="32"/>
    </row>
    <row r="85" spans="9:50" ht="12.75">
      <c r="I85" s="33"/>
      <c r="M85" s="33"/>
      <c r="Q85" s="33"/>
      <c r="U85" s="33"/>
      <c r="Y85" s="33"/>
      <c r="AC85" s="33"/>
      <c r="AK85" s="33"/>
      <c r="AL85" s="3"/>
      <c r="AM85" s="3"/>
      <c r="AN85" s="3"/>
      <c r="AW85" s="2"/>
      <c r="AX85" s="2"/>
    </row>
    <row r="86" spans="9:50" ht="12.75">
      <c r="I86" s="2"/>
      <c r="M86" s="2"/>
      <c r="Q86" s="2"/>
      <c r="U86" s="2"/>
      <c r="Y86" s="2"/>
      <c r="AC86" s="2"/>
      <c r="AK86" s="152"/>
      <c r="AL86" s="3"/>
      <c r="AM86" s="3"/>
      <c r="AN86" s="3"/>
      <c r="AW86" s="2"/>
      <c r="AX86" s="2"/>
    </row>
    <row r="87" spans="9:50" ht="12.75">
      <c r="I87" s="2"/>
      <c r="M87" s="2"/>
      <c r="Q87" s="2"/>
      <c r="U87" s="2"/>
      <c r="Y87" s="2"/>
      <c r="AC87" s="2"/>
      <c r="AD87" s="2"/>
      <c r="AG87" s="2"/>
      <c r="AI87" s="2"/>
      <c r="AJ87" s="2"/>
      <c r="AK87" s="2"/>
      <c r="AL87" s="3"/>
      <c r="AM87" s="3"/>
      <c r="AN87" s="3"/>
      <c r="AW87" s="51"/>
      <c r="AX87" s="51"/>
    </row>
    <row r="88" spans="29:50" ht="12.75">
      <c r="AC88" s="32"/>
      <c r="AD88" s="44"/>
      <c r="AE88" s="32"/>
      <c r="AF88" s="32"/>
      <c r="AG88" s="32"/>
      <c r="AH88" s="37"/>
      <c r="AI88" s="37"/>
      <c r="AJ88" s="34"/>
      <c r="AK88" s="1"/>
      <c r="AL88" s="3"/>
      <c r="AM88" s="3"/>
      <c r="AN88" s="3"/>
      <c r="AW88" s="51"/>
      <c r="AX88" s="51"/>
    </row>
    <row r="89" spans="29:50" ht="12.75">
      <c r="AC89" s="32"/>
      <c r="AD89" s="32"/>
      <c r="AE89" s="32"/>
      <c r="AF89" s="32"/>
      <c r="AG89" s="32"/>
      <c r="AH89" s="40"/>
      <c r="AI89" s="32"/>
      <c r="AJ89" s="32"/>
      <c r="AK89" s="32"/>
      <c r="AL89" s="3"/>
      <c r="AM89" s="3"/>
      <c r="AN89" s="3"/>
      <c r="AW89" s="52"/>
      <c r="AX89" s="52"/>
    </row>
    <row r="90" spans="29:50" ht="12.75">
      <c r="AC90" s="11"/>
      <c r="AD90" s="42"/>
      <c r="AE90" s="35"/>
      <c r="AF90" s="35"/>
      <c r="AG90" s="35"/>
      <c r="AH90" s="42"/>
      <c r="AI90" s="35"/>
      <c r="AJ90" s="35"/>
      <c r="AK90" s="47"/>
      <c r="AL90" s="3"/>
      <c r="AM90" s="3"/>
      <c r="AN90" s="3"/>
      <c r="AW90" s="53"/>
      <c r="AX90" s="53"/>
    </row>
    <row r="91" spans="29:50" ht="12.75">
      <c r="AC91" s="11"/>
      <c r="AD91" s="35"/>
      <c r="AE91" s="35"/>
      <c r="AF91" s="35"/>
      <c r="AG91" s="35"/>
      <c r="AH91" s="35"/>
      <c r="AI91" s="35"/>
      <c r="AJ91" s="35"/>
      <c r="AK91" s="47"/>
      <c r="AL91" s="3"/>
      <c r="AM91" s="3"/>
      <c r="AN91" s="3"/>
      <c r="AW91" s="35"/>
      <c r="AX91" s="35"/>
    </row>
    <row r="92" spans="29:50" ht="12.75">
      <c r="AC92" s="11"/>
      <c r="AD92" s="35"/>
      <c r="AE92" s="35"/>
      <c r="AF92" s="35"/>
      <c r="AG92" s="35"/>
      <c r="AH92" s="35"/>
      <c r="AI92" s="35"/>
      <c r="AJ92" s="35"/>
      <c r="AK92" s="41"/>
      <c r="AL92" s="3"/>
      <c r="AM92" s="3"/>
      <c r="AN92" s="3"/>
      <c r="AW92" s="35"/>
      <c r="AX92" s="35"/>
    </row>
    <row r="93" spans="29:50" ht="12.75">
      <c r="AC93" s="35"/>
      <c r="AD93" s="35"/>
      <c r="AE93" s="35"/>
      <c r="AF93" s="35"/>
      <c r="AG93" s="35"/>
      <c r="AH93" s="35"/>
      <c r="AI93" s="35"/>
      <c r="AJ93" s="35"/>
      <c r="AK93" s="35"/>
      <c r="AL93" s="3"/>
      <c r="AM93" s="3"/>
      <c r="AN93" s="3"/>
      <c r="AW93" s="36"/>
      <c r="AX93" s="36"/>
    </row>
    <row r="94" spans="29:50" ht="12.75">
      <c r="AC94" s="36"/>
      <c r="AD94" s="36"/>
      <c r="AE94" s="36"/>
      <c r="AF94" s="36"/>
      <c r="AG94" s="36"/>
      <c r="AH94" s="36"/>
      <c r="AI94" s="36"/>
      <c r="AJ94" s="36"/>
      <c r="AK94" s="36"/>
      <c r="AL94" s="3"/>
      <c r="AM94" s="3"/>
      <c r="AN94" s="3"/>
      <c r="AW94" s="36"/>
      <c r="AX94" s="36"/>
    </row>
    <row r="95" spans="29:50" ht="12.75">
      <c r="AC95" s="36"/>
      <c r="AD95" s="36"/>
      <c r="AE95" s="36"/>
      <c r="AF95" s="36"/>
      <c r="AG95" s="36"/>
      <c r="AH95" s="36"/>
      <c r="AI95" s="36"/>
      <c r="AJ95" s="36"/>
      <c r="AK95" s="36"/>
      <c r="AL95" s="3"/>
      <c r="AM95" s="3"/>
      <c r="AN95" s="3"/>
      <c r="AW95" s="3"/>
      <c r="AX95" s="3"/>
    </row>
    <row r="96" spans="29:50" ht="12.75">
      <c r="AC96" s="3"/>
      <c r="AD96" s="3"/>
      <c r="AE96" s="3"/>
      <c r="AF96" s="3"/>
      <c r="AG96" s="3"/>
      <c r="AH96" s="3"/>
      <c r="AI96" s="3"/>
      <c r="AJ96" s="3"/>
      <c r="AK96" s="3"/>
      <c r="AL96" s="3"/>
      <c r="AM96" s="3"/>
      <c r="AN96" s="3"/>
      <c r="AW96" s="3"/>
      <c r="AX96" s="3"/>
    </row>
    <row r="97" spans="29:50" ht="12.75">
      <c r="AC97" s="3"/>
      <c r="AD97" s="3"/>
      <c r="AE97" s="3"/>
      <c r="AF97" s="3"/>
      <c r="AG97" s="3"/>
      <c r="AH97" s="3"/>
      <c r="AI97" s="3"/>
      <c r="AJ97" s="3"/>
      <c r="AK97" s="3"/>
      <c r="AL97" s="3"/>
      <c r="AM97" s="3"/>
      <c r="AN97" s="3"/>
      <c r="AW97" s="3"/>
      <c r="AX97" s="3"/>
    </row>
    <row r="98" spans="29:50" ht="12.75">
      <c r="AC98" s="3"/>
      <c r="AD98" s="3"/>
      <c r="AE98" s="3"/>
      <c r="AF98" s="3"/>
      <c r="AG98" s="3"/>
      <c r="AH98" s="3"/>
      <c r="AI98" s="3"/>
      <c r="AJ98" s="3"/>
      <c r="AK98" s="3"/>
      <c r="AL98" s="3"/>
      <c r="AM98" s="3"/>
      <c r="AN98" s="3"/>
      <c r="AW98" s="3"/>
      <c r="AX98" s="3"/>
    </row>
    <row r="99" spans="29:50" ht="12.75">
      <c r="AC99" s="3"/>
      <c r="AD99" s="3"/>
      <c r="AE99" s="3"/>
      <c r="AF99" s="3"/>
      <c r="AG99" s="3"/>
      <c r="AH99" s="3"/>
      <c r="AI99" s="3"/>
      <c r="AJ99" s="3"/>
      <c r="AK99" s="3"/>
      <c r="AL99" s="3"/>
      <c r="AM99" s="3"/>
      <c r="AN99" s="3"/>
      <c r="AW99" s="3"/>
      <c r="AX99" s="3"/>
    </row>
    <row r="100" spans="29:40" ht="12.75">
      <c r="AC100" s="3"/>
      <c r="AD100" s="3"/>
      <c r="AE100" s="3"/>
      <c r="AF100" s="3"/>
      <c r="AG100" s="3"/>
      <c r="AH100" s="3"/>
      <c r="AI100" s="3"/>
      <c r="AJ100" s="3"/>
      <c r="AK100" s="3"/>
      <c r="AL100" s="3"/>
      <c r="AM100" s="3"/>
      <c r="AN100" s="3"/>
    </row>
  </sheetData>
  <sheetProtection/>
  <mergeCells count="10">
    <mergeCell ref="C10:D10"/>
    <mergeCell ref="C11:D11"/>
    <mergeCell ref="AO11:AP11"/>
    <mergeCell ref="A32:B32"/>
    <mergeCell ref="C53:D53"/>
    <mergeCell ref="C54:D54"/>
    <mergeCell ref="AO54:AP54"/>
    <mergeCell ref="C65:D65"/>
    <mergeCell ref="C66:D66"/>
    <mergeCell ref="AO66:AP66"/>
  </mergeCells>
  <printOptions horizontalCentered="1"/>
  <pageMargins left="0.3" right="0.3" top="0.4" bottom="0.6" header="0" footer="0.3"/>
  <pageSetup fitToHeight="1" fitToWidth="1" horizontalDpi="600" verticalDpi="600" orientation="landscape" scale="53" r:id="rId2"/>
  <headerFooter alignWithMargins="0">
    <oddFooter>&amp;CPage 9</oddFooter>
  </headerFooter>
  <colBreaks count="1" manualBreakCount="1">
    <brk id="51" max="72"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3:BI101"/>
  <sheetViews>
    <sheetView view="pageBreakPreview" zoomScale="90" zoomScaleSheetLayoutView="90" zoomScalePageLayoutView="0" workbookViewId="0" topLeftCell="A17">
      <pane xSplit="2" topLeftCell="C1" activePane="topRight" state="frozen"/>
      <selection pane="topLeft" activeCell="B21" sqref="B21:L21"/>
      <selection pane="topRight" activeCell="C64" sqref="C64"/>
    </sheetView>
  </sheetViews>
  <sheetFormatPr defaultColWidth="9.140625" defaultRowHeight="12.75" outlineLevelRow="1"/>
  <cols>
    <col min="1" max="1" width="2.7109375" style="0" customWidth="1"/>
    <col min="2" max="2" width="48.140625" style="0" customWidth="1"/>
    <col min="3" max="4" width="9.7109375" style="0" customWidth="1"/>
    <col min="5" max="5" width="1.57421875" style="3" customWidth="1"/>
    <col min="6" max="8" width="9.28125" style="3" hidden="1" customWidth="1"/>
    <col min="9" max="9" width="9.421875" style="3" customWidth="1"/>
    <col min="10" max="12" width="9.28125" style="3" customWidth="1"/>
    <col min="13" max="14" width="9.421875" style="3" customWidth="1"/>
    <col min="15" max="16" width="9.28125" style="3" customWidth="1"/>
    <col min="17" max="17" width="9.421875" style="3" customWidth="1"/>
    <col min="18" max="18" width="9.421875" style="3" hidden="1" customWidth="1"/>
    <col min="19" max="26" width="9.28125" style="3" hidden="1" customWidth="1"/>
    <col min="27" max="28" width="9.7109375" style="3" hidden="1" customWidth="1"/>
    <col min="29" max="37" width="9.7109375" style="0" hidden="1" customWidth="1"/>
    <col min="38" max="38" width="1.57421875" style="0" customWidth="1"/>
    <col min="39" max="41" width="10.00390625" style="0" hidden="1" customWidth="1"/>
    <col min="42" max="42" width="9.7109375" style="0" hidden="1" customWidth="1"/>
    <col min="43" max="43" width="1.57421875" style="0" hidden="1" customWidth="1"/>
    <col min="44" max="46" width="9.57421875" style="0" customWidth="1"/>
    <col min="47" max="48" width="9.7109375" style="0" customWidth="1"/>
    <col min="49" max="53" width="9.7109375" style="0" hidden="1" customWidth="1"/>
    <col min="54" max="54" width="1.57421875" style="0" customWidth="1"/>
  </cols>
  <sheetData>
    <row r="1" ht="9" customHeight="1"/>
    <row r="2" ht="12.75"/>
    <row r="3" ht="12.75">
      <c r="AR3" s="587"/>
    </row>
    <row r="4" ht="12.75">
      <c r="AR4" s="587"/>
    </row>
    <row r="5" spans="1:39" ht="6.75" customHeight="1">
      <c r="A5" s="3"/>
      <c r="B5" s="3"/>
      <c r="C5" s="3"/>
      <c r="D5" s="3"/>
      <c r="AC5" s="3"/>
      <c r="AD5" s="3"/>
      <c r="AE5" s="3"/>
      <c r="AM5" s="587"/>
    </row>
    <row r="6" spans="1:39" ht="18" customHeight="1">
      <c r="A6" s="134" t="s">
        <v>411</v>
      </c>
      <c r="B6" s="3"/>
      <c r="C6" s="3"/>
      <c r="D6" s="3"/>
      <c r="F6" s="555"/>
      <c r="G6" s="555"/>
      <c r="H6" s="555"/>
      <c r="I6" s="555"/>
      <c r="J6" s="555"/>
      <c r="K6" s="555"/>
      <c r="L6" s="555"/>
      <c r="M6" s="555"/>
      <c r="AC6" s="3"/>
      <c r="AD6" s="3"/>
      <c r="AE6" s="3"/>
      <c r="AM6" s="587"/>
    </row>
    <row r="7" spans="1:39" ht="18" customHeight="1">
      <c r="A7" s="166" t="s">
        <v>394</v>
      </c>
      <c r="B7" s="5"/>
      <c r="C7" s="5"/>
      <c r="D7" s="5"/>
      <c r="E7" s="5"/>
      <c r="F7" s="5"/>
      <c r="G7" s="5"/>
      <c r="H7" s="5"/>
      <c r="I7" s="5"/>
      <c r="J7" s="5"/>
      <c r="K7" s="5"/>
      <c r="L7" s="5"/>
      <c r="M7" s="5"/>
      <c r="N7" s="5"/>
      <c r="O7" s="5"/>
      <c r="P7" s="5"/>
      <c r="Q7" s="5"/>
      <c r="R7" s="5"/>
      <c r="S7" s="5"/>
      <c r="T7" s="5"/>
      <c r="U7" s="5"/>
      <c r="V7" s="5"/>
      <c r="W7" s="5"/>
      <c r="X7" s="5"/>
      <c r="Y7" s="5"/>
      <c r="Z7" s="5"/>
      <c r="AA7" s="5"/>
      <c r="AB7" s="5"/>
      <c r="AC7" s="3"/>
      <c r="AD7" s="3"/>
      <c r="AE7" s="3"/>
      <c r="AM7" s="602"/>
    </row>
    <row r="8" spans="1:31" ht="15">
      <c r="A8" s="788" t="s">
        <v>339</v>
      </c>
      <c r="B8" s="5"/>
      <c r="C8" s="5"/>
      <c r="D8" s="5"/>
      <c r="E8" s="5"/>
      <c r="F8" s="5"/>
      <c r="G8" s="5"/>
      <c r="H8" s="5"/>
      <c r="I8" s="5"/>
      <c r="J8" s="5"/>
      <c r="K8" s="5"/>
      <c r="L8" s="5"/>
      <c r="M8" s="5"/>
      <c r="N8" s="5"/>
      <c r="O8" s="5"/>
      <c r="P8" s="5"/>
      <c r="Q8" s="5"/>
      <c r="R8" s="5"/>
      <c r="S8" s="5"/>
      <c r="T8" s="5"/>
      <c r="U8" s="5"/>
      <c r="V8" s="5"/>
      <c r="W8" s="5"/>
      <c r="X8" s="5"/>
      <c r="Y8" s="5"/>
      <c r="Z8" s="5"/>
      <c r="AA8" s="5"/>
      <c r="AB8" s="5"/>
      <c r="AC8" s="3"/>
      <c r="AD8" s="3"/>
      <c r="AE8" s="3"/>
    </row>
    <row r="9" spans="1:53" ht="9.75" customHeight="1">
      <c r="A9" s="2"/>
      <c r="B9" s="2"/>
      <c r="C9" s="2"/>
      <c r="D9" s="2"/>
      <c r="E9" s="2"/>
      <c r="F9" s="491"/>
      <c r="G9" s="491"/>
      <c r="H9" s="491"/>
      <c r="I9" s="2"/>
      <c r="J9" s="491"/>
      <c r="K9" s="491"/>
      <c r="L9" s="491"/>
      <c r="M9" s="2"/>
      <c r="N9" s="491"/>
      <c r="O9" s="2"/>
      <c r="P9" s="491"/>
      <c r="Q9" s="2"/>
      <c r="R9" s="491"/>
      <c r="S9" s="2"/>
      <c r="T9" s="491"/>
      <c r="U9" s="2"/>
      <c r="V9" s="491"/>
      <c r="W9" s="2"/>
      <c r="X9" s="491"/>
      <c r="Y9" s="2"/>
      <c r="Z9" s="491"/>
      <c r="AA9" s="2"/>
      <c r="AB9" s="2"/>
      <c r="AC9" s="3"/>
      <c r="AD9" s="3"/>
      <c r="AE9" s="3"/>
      <c r="AO9" s="626"/>
      <c r="AP9" s="626"/>
      <c r="AY9" s="3"/>
      <c r="AZ9" s="3"/>
      <c r="BA9" s="3"/>
    </row>
    <row r="10" spans="1:54" ht="12.75">
      <c r="A10" s="6" t="s">
        <v>1</v>
      </c>
      <c r="B10" s="7"/>
      <c r="C10" s="1437"/>
      <c r="D10" s="1438"/>
      <c r="E10" s="259"/>
      <c r="F10" s="477"/>
      <c r="G10" s="477"/>
      <c r="H10" s="477"/>
      <c r="I10" s="19"/>
      <c r="J10" s="477"/>
      <c r="K10" s="477"/>
      <c r="L10" s="477"/>
      <c r="M10" s="19"/>
      <c r="N10" s="17"/>
      <c r="O10" s="18"/>
      <c r="P10" s="477"/>
      <c r="Q10" s="19"/>
      <c r="R10" s="17"/>
      <c r="S10" s="18"/>
      <c r="T10" s="477"/>
      <c r="U10" s="19"/>
      <c r="W10" s="18"/>
      <c r="X10" s="2"/>
      <c r="Y10" s="19"/>
      <c r="Z10" s="18"/>
      <c r="AB10" s="477"/>
      <c r="AC10" s="19"/>
      <c r="AD10" s="18"/>
      <c r="AE10" s="18"/>
      <c r="AF10" s="18"/>
      <c r="AG10" s="18"/>
      <c r="AH10" s="22"/>
      <c r="AI10" s="19"/>
      <c r="AJ10" s="19"/>
      <c r="AK10" s="19"/>
      <c r="AL10" s="24"/>
      <c r="AM10" s="725" t="s">
        <v>406</v>
      </c>
      <c r="AN10" s="711"/>
      <c r="AO10" s="711" t="s">
        <v>386</v>
      </c>
      <c r="AP10" s="712"/>
      <c r="AQ10" s="15"/>
      <c r="AR10" s="88"/>
      <c r="AS10" s="88"/>
      <c r="AT10" s="88"/>
      <c r="AU10" s="88"/>
      <c r="AV10" s="88"/>
      <c r="AW10" s="17"/>
      <c r="AX10" s="22"/>
      <c r="AY10" s="88"/>
      <c r="AZ10" s="350"/>
      <c r="BA10" s="756"/>
      <c r="BB10" s="25"/>
    </row>
    <row r="11" spans="1:61" ht="13.5">
      <c r="A11" s="6" t="s">
        <v>2</v>
      </c>
      <c r="B11" s="7"/>
      <c r="C11" s="1439"/>
      <c r="D11" s="1440"/>
      <c r="E11" s="603"/>
      <c r="F11" s="21" t="s">
        <v>431</v>
      </c>
      <c r="G11" s="21" t="s">
        <v>430</v>
      </c>
      <c r="H11" s="21" t="s">
        <v>429</v>
      </c>
      <c r="I11" s="14" t="s">
        <v>427</v>
      </c>
      <c r="J11" s="21" t="s">
        <v>362</v>
      </c>
      <c r="K11" s="21" t="s">
        <v>363</v>
      </c>
      <c r="L11" s="21" t="s">
        <v>364</v>
      </c>
      <c r="M11" s="14" t="s">
        <v>365</v>
      </c>
      <c r="N11" s="20" t="s">
        <v>277</v>
      </c>
      <c r="O11" s="21" t="s">
        <v>278</v>
      </c>
      <c r="P11" s="21" t="s">
        <v>279</v>
      </c>
      <c r="Q11" s="14" t="s">
        <v>276</v>
      </c>
      <c r="R11" s="20" t="s">
        <v>222</v>
      </c>
      <c r="S11" s="21" t="s">
        <v>223</v>
      </c>
      <c r="T11" s="21" t="s">
        <v>224</v>
      </c>
      <c r="U11" s="14" t="s">
        <v>225</v>
      </c>
      <c r="V11" s="21" t="s">
        <v>141</v>
      </c>
      <c r="W11" s="21" t="s">
        <v>140</v>
      </c>
      <c r="X11" s="21" t="s">
        <v>139</v>
      </c>
      <c r="Y11" s="14" t="s">
        <v>138</v>
      </c>
      <c r="Z11" s="21" t="s">
        <v>91</v>
      </c>
      <c r="AA11" s="21" t="s">
        <v>92</v>
      </c>
      <c r="AB11" s="21" t="s">
        <v>93</v>
      </c>
      <c r="AC11" s="14" t="s">
        <v>32</v>
      </c>
      <c r="AD11" s="21" t="s">
        <v>33</v>
      </c>
      <c r="AE11" s="21" t="s">
        <v>34</v>
      </c>
      <c r="AF11" s="21" t="s">
        <v>35</v>
      </c>
      <c r="AG11" s="21" t="s">
        <v>36</v>
      </c>
      <c r="AH11" s="23" t="s">
        <v>37</v>
      </c>
      <c r="AI11" s="14" t="s">
        <v>38</v>
      </c>
      <c r="AJ11" s="14" t="s">
        <v>39</v>
      </c>
      <c r="AK11" s="14" t="s">
        <v>40</v>
      </c>
      <c r="AL11" s="259"/>
      <c r="AM11" s="21" t="s">
        <v>363</v>
      </c>
      <c r="AN11" s="21" t="s">
        <v>278</v>
      </c>
      <c r="AO11" s="1461" t="s">
        <v>41</v>
      </c>
      <c r="AP11" s="1436"/>
      <c r="AQ11" s="16"/>
      <c r="AR11" s="20" t="s">
        <v>367</v>
      </c>
      <c r="AS11" s="20" t="s">
        <v>285</v>
      </c>
      <c r="AT11" s="20"/>
      <c r="AU11" s="20"/>
      <c r="AV11" s="20"/>
      <c r="AW11" s="20"/>
      <c r="AX11" s="23"/>
      <c r="AY11" s="23"/>
      <c r="AZ11" s="23"/>
      <c r="BA11" s="20"/>
      <c r="BB11" s="25"/>
      <c r="BC11" s="3"/>
      <c r="BD11" s="3"/>
      <c r="BG11" s="3"/>
      <c r="BH11" s="3"/>
      <c r="BI11" s="3"/>
    </row>
    <row r="12" spans="1:61" ht="12.75">
      <c r="A12" s="6"/>
      <c r="B12" s="7"/>
      <c r="C12" s="693"/>
      <c r="D12" s="692"/>
      <c r="E12" s="603"/>
      <c r="F12" s="697" t="s">
        <v>307</v>
      </c>
      <c r="G12" s="697" t="s">
        <v>307</v>
      </c>
      <c r="H12" s="697" t="s">
        <v>307</v>
      </c>
      <c r="I12" s="698" t="s">
        <v>307</v>
      </c>
      <c r="J12" s="697" t="s">
        <v>307</v>
      </c>
      <c r="K12" s="697" t="s">
        <v>307</v>
      </c>
      <c r="L12" s="697" t="s">
        <v>307</v>
      </c>
      <c r="M12" s="698" t="s">
        <v>307</v>
      </c>
      <c r="N12" s="696" t="s">
        <v>307</v>
      </c>
      <c r="O12" s="697" t="s">
        <v>307</v>
      </c>
      <c r="P12" s="697" t="s">
        <v>307</v>
      </c>
      <c r="Q12" s="698" t="s">
        <v>307</v>
      </c>
      <c r="R12" s="696" t="s">
        <v>307</v>
      </c>
      <c r="S12" s="697" t="s">
        <v>307</v>
      </c>
      <c r="T12" s="697" t="s">
        <v>307</v>
      </c>
      <c r="U12" s="698" t="s">
        <v>307</v>
      </c>
      <c r="V12" s="696" t="s">
        <v>308</v>
      </c>
      <c r="W12" s="697" t="s">
        <v>308</v>
      </c>
      <c r="X12" s="697" t="s">
        <v>308</v>
      </c>
      <c r="Y12" s="698" t="s">
        <v>308</v>
      </c>
      <c r="Z12" s="15"/>
      <c r="AA12" s="15"/>
      <c r="AB12" s="15"/>
      <c r="AC12" s="233"/>
      <c r="AD12" s="15"/>
      <c r="AE12" s="15"/>
      <c r="AF12" s="15"/>
      <c r="AG12" s="15"/>
      <c r="AH12" s="259"/>
      <c r="AI12" s="233"/>
      <c r="AJ12" s="233"/>
      <c r="AK12" s="233"/>
      <c r="AL12" s="259"/>
      <c r="AM12" s="696" t="s">
        <v>307</v>
      </c>
      <c r="AN12" s="697" t="s">
        <v>307</v>
      </c>
      <c r="AO12" s="713"/>
      <c r="AP12" s="714"/>
      <c r="AQ12" s="16"/>
      <c r="AR12" s="696" t="s">
        <v>307</v>
      </c>
      <c r="AS12" s="696" t="s">
        <v>307</v>
      </c>
      <c r="AT12" s="696"/>
      <c r="AU12" s="696"/>
      <c r="AV12" s="696"/>
      <c r="AW12" s="696"/>
      <c r="AX12" s="699"/>
      <c r="AY12" s="259"/>
      <c r="AZ12" s="259"/>
      <c r="BA12" s="232"/>
      <c r="BB12" s="25"/>
      <c r="BC12" s="3"/>
      <c r="BD12" s="3"/>
      <c r="BG12" s="3"/>
      <c r="BH12" s="3"/>
      <c r="BI12" s="3"/>
    </row>
    <row r="13" spans="1:59" ht="12.75" customHeight="1">
      <c r="A13" s="142" t="s">
        <v>68</v>
      </c>
      <c r="B13" s="8"/>
      <c r="C13" s="164"/>
      <c r="D13" s="166"/>
      <c r="E13" s="89"/>
      <c r="F13" s="148"/>
      <c r="G13" s="148"/>
      <c r="H13" s="148"/>
      <c r="I13" s="166"/>
      <c r="J13" s="148"/>
      <c r="K13" s="148"/>
      <c r="L13" s="148"/>
      <c r="M13" s="166"/>
      <c r="N13" s="148"/>
      <c r="O13" s="148"/>
      <c r="P13" s="148"/>
      <c r="Q13" s="166"/>
      <c r="R13" s="148"/>
      <c r="S13" s="148"/>
      <c r="T13" s="148"/>
      <c r="U13" s="166"/>
      <c r="V13" s="148"/>
      <c r="W13" s="148"/>
      <c r="X13" s="148"/>
      <c r="Y13" s="166"/>
      <c r="Z13" s="148"/>
      <c r="AA13" s="148"/>
      <c r="AB13" s="148"/>
      <c r="AC13" s="166"/>
      <c r="AD13" s="196"/>
      <c r="AE13" s="148"/>
      <c r="AF13" s="148"/>
      <c r="AH13" s="22"/>
      <c r="AI13" s="26"/>
      <c r="AJ13" s="26"/>
      <c r="AK13" s="19"/>
      <c r="AL13" s="89"/>
      <c r="AM13" s="148"/>
      <c r="AN13" s="148"/>
      <c r="AO13" s="148"/>
      <c r="AP13" s="166"/>
      <c r="AQ13" s="83"/>
      <c r="AR13" s="89"/>
      <c r="AS13" s="89"/>
      <c r="AT13" s="89"/>
      <c r="AU13" s="89"/>
      <c r="AV13" s="89"/>
      <c r="AW13" s="164"/>
      <c r="AX13" s="89"/>
      <c r="AY13" s="363"/>
      <c r="AZ13" s="363"/>
      <c r="BA13" s="757"/>
      <c r="BB13" s="25"/>
      <c r="BC13" s="3"/>
      <c r="BD13" s="3"/>
      <c r="BG13" s="3"/>
    </row>
    <row r="14" spans="1:59" ht="12.75" customHeight="1">
      <c r="A14" s="7"/>
      <c r="B14" s="227" t="s">
        <v>385</v>
      </c>
      <c r="C14" s="38"/>
      <c r="D14" s="30"/>
      <c r="E14" s="592"/>
      <c r="F14" s="465"/>
      <c r="G14" s="465"/>
      <c r="H14" s="465"/>
      <c r="I14" s="216">
        <v>755</v>
      </c>
      <c r="J14" s="465">
        <v>1298</v>
      </c>
      <c r="K14" s="465">
        <v>178</v>
      </c>
      <c r="L14" s="465">
        <v>1153</v>
      </c>
      <c r="M14" s="216">
        <v>844</v>
      </c>
      <c r="N14" s="213">
        <v>0</v>
      </c>
      <c r="O14" s="213">
        <v>0</v>
      </c>
      <c r="P14" s="213">
        <v>0</v>
      </c>
      <c r="Q14" s="168">
        <v>0</v>
      </c>
      <c r="R14" s="213">
        <v>0</v>
      </c>
      <c r="S14" s="213">
        <v>0</v>
      </c>
      <c r="T14" s="213">
        <v>0</v>
      </c>
      <c r="U14" s="168">
        <v>0</v>
      </c>
      <c r="V14" s="465"/>
      <c r="W14" s="465"/>
      <c r="X14" s="465"/>
      <c r="Y14" s="216"/>
      <c r="Z14" s="465"/>
      <c r="AA14" s="465"/>
      <c r="AB14" s="465"/>
      <c r="AC14" s="216"/>
      <c r="AD14" s="174"/>
      <c r="AE14" s="212"/>
      <c r="AF14" s="212"/>
      <c r="AG14" s="213"/>
      <c r="AH14" s="177"/>
      <c r="AI14" s="168"/>
      <c r="AJ14" s="168"/>
      <c r="AK14" s="168"/>
      <c r="AL14" s="89"/>
      <c r="AM14" s="213">
        <f>SUM(K14:M14)</f>
        <v>2175</v>
      </c>
      <c r="AN14" s="213">
        <f>SUM(O14:Q14)</f>
        <v>0</v>
      </c>
      <c r="AO14" s="31">
        <f>AR14-AS14</f>
        <v>3473</v>
      </c>
      <c r="AP14" s="554" t="s">
        <v>44</v>
      </c>
      <c r="AQ14" s="83"/>
      <c r="AR14" s="201">
        <f>SUM(J14:M14)</f>
        <v>3473</v>
      </c>
      <c r="AS14" s="204"/>
      <c r="AT14" s="204"/>
      <c r="AU14" s="204"/>
      <c r="AV14" s="204"/>
      <c r="AW14" s="204"/>
      <c r="AX14" s="201"/>
      <c r="AY14" s="364"/>
      <c r="AZ14" s="364"/>
      <c r="BA14" s="364"/>
      <c r="BB14" s="148"/>
      <c r="BD14" s="3"/>
      <c r="BG14" s="3"/>
    </row>
    <row r="15" spans="1:59" ht="12.75" customHeight="1">
      <c r="A15" s="8"/>
      <c r="B15" s="7"/>
      <c r="C15" s="169"/>
      <c r="D15" s="170"/>
      <c r="E15" s="592"/>
      <c r="F15" s="473">
        <f aca="true" t="shared" si="0" ref="F15:N15">SUM(F14:F14)</f>
        <v>0</v>
      </c>
      <c r="G15" s="473">
        <f t="shared" si="0"/>
        <v>0</v>
      </c>
      <c r="H15" s="473">
        <f t="shared" si="0"/>
        <v>0</v>
      </c>
      <c r="I15" s="221">
        <f t="shared" si="0"/>
        <v>755</v>
      </c>
      <c r="J15" s="473">
        <f t="shared" si="0"/>
        <v>1298</v>
      </c>
      <c r="K15" s="473">
        <f t="shared" si="0"/>
        <v>178</v>
      </c>
      <c r="L15" s="473">
        <f t="shared" si="0"/>
        <v>1153</v>
      </c>
      <c r="M15" s="221">
        <f t="shared" si="0"/>
        <v>844</v>
      </c>
      <c r="N15" s="473">
        <f t="shared" si="0"/>
        <v>0</v>
      </c>
      <c r="O15" s="473">
        <f>SUM(O14:O14)</f>
        <v>0</v>
      </c>
      <c r="P15" s="473">
        <f>SUM(P14:P14)</f>
        <v>0</v>
      </c>
      <c r="Q15" s="473">
        <f>SUM(Q14:Q14)</f>
        <v>0</v>
      </c>
      <c r="R15" s="473">
        <v>72704</v>
      </c>
      <c r="S15" s="473">
        <v>68599</v>
      </c>
      <c r="T15" s="473">
        <v>44539</v>
      </c>
      <c r="U15" s="221">
        <v>47207</v>
      </c>
      <c r="V15" s="473">
        <v>54990</v>
      </c>
      <c r="W15" s="473">
        <v>51733</v>
      </c>
      <c r="X15" s="473">
        <v>40138</v>
      </c>
      <c r="Y15" s="221">
        <v>40185</v>
      </c>
      <c r="Z15" s="473">
        <v>37255</v>
      </c>
      <c r="AA15" s="473">
        <v>33532</v>
      </c>
      <c r="AB15" s="473">
        <v>43844</v>
      </c>
      <c r="AC15" s="221">
        <v>57853</v>
      </c>
      <c r="AD15" s="178">
        <v>54463</v>
      </c>
      <c r="AE15" s="220">
        <v>61166</v>
      </c>
      <c r="AF15" s="220">
        <v>57415</v>
      </c>
      <c r="AG15" s="220">
        <v>76083</v>
      </c>
      <c r="AH15" s="171">
        <v>75876</v>
      </c>
      <c r="AI15" s="221">
        <v>68831</v>
      </c>
      <c r="AJ15" s="221">
        <v>55626</v>
      </c>
      <c r="AK15" s="221">
        <v>72286</v>
      </c>
      <c r="AL15" s="89"/>
      <c r="AM15" s="841">
        <f>SUM(AM14:AM14)</f>
        <v>2175</v>
      </c>
      <c r="AN15" s="841">
        <f>SUM(AN14:AN14)</f>
        <v>0</v>
      </c>
      <c r="AO15" s="473">
        <f>AR15-AS15</f>
        <v>3473</v>
      </c>
      <c r="AP15" s="170" t="e">
        <f>IF(OR((AO15/AS15)&gt;3,(AO15/AS15)&lt;-3),"n.m.",(AO15/AS15))</f>
        <v>#DIV/0!</v>
      </c>
      <c r="AQ15" s="83"/>
      <c r="AR15" s="202">
        <f>SUM(AR14:AR14)</f>
        <v>3473</v>
      </c>
      <c r="AS15" s="202"/>
      <c r="AT15" s="202"/>
      <c r="AU15" s="202"/>
      <c r="AV15" s="202"/>
      <c r="AW15" s="202"/>
      <c r="AX15" s="202"/>
      <c r="AY15" s="365"/>
      <c r="AZ15" s="365"/>
      <c r="BA15" s="365"/>
      <c r="BB15" s="148"/>
      <c r="BD15" s="3"/>
      <c r="BG15" s="3"/>
    </row>
    <row r="16" spans="1:59" ht="12.75" customHeight="1">
      <c r="A16" s="142" t="s">
        <v>5</v>
      </c>
      <c r="B16" s="7"/>
      <c r="C16" s="38"/>
      <c r="D16" s="30"/>
      <c r="E16" s="592"/>
      <c r="F16" s="465"/>
      <c r="G16" s="465"/>
      <c r="H16" s="465"/>
      <c r="I16" s="216"/>
      <c r="J16" s="465"/>
      <c r="K16" s="465"/>
      <c r="L16" s="465"/>
      <c r="M16" s="216"/>
      <c r="N16" s="465"/>
      <c r="O16" s="465"/>
      <c r="P16" s="465"/>
      <c r="Q16" s="216"/>
      <c r="R16" s="465"/>
      <c r="S16" s="465"/>
      <c r="T16" s="465"/>
      <c r="U16" s="216"/>
      <c r="V16" s="465"/>
      <c r="W16" s="465"/>
      <c r="X16" s="465"/>
      <c r="Y16" s="216"/>
      <c r="Z16" s="465"/>
      <c r="AA16" s="465"/>
      <c r="AB16" s="465"/>
      <c r="AC16" s="216"/>
      <c r="AD16" s="174"/>
      <c r="AE16" s="212"/>
      <c r="AF16" s="212"/>
      <c r="AG16" s="212"/>
      <c r="AH16" s="161"/>
      <c r="AI16" s="216"/>
      <c r="AJ16" s="216"/>
      <c r="AK16" s="216"/>
      <c r="AL16" s="89"/>
      <c r="AM16" s="213"/>
      <c r="AN16" s="213"/>
      <c r="AO16" s="31"/>
      <c r="AP16" s="30"/>
      <c r="AQ16" s="83"/>
      <c r="AR16" s="203"/>
      <c r="AS16" s="203"/>
      <c r="AT16" s="203"/>
      <c r="AU16" s="203"/>
      <c r="AV16" s="203"/>
      <c r="AW16" s="201"/>
      <c r="AX16" s="201"/>
      <c r="AY16" s="364"/>
      <c r="AZ16" s="364"/>
      <c r="BA16" s="364"/>
      <c r="BB16" s="148"/>
      <c r="BD16" s="3"/>
      <c r="BG16" s="3"/>
    </row>
    <row r="17" spans="1:59" ht="12.75" customHeight="1">
      <c r="A17" s="142"/>
      <c r="B17" s="7" t="s">
        <v>399</v>
      </c>
      <c r="C17" s="38"/>
      <c r="D17" s="30"/>
      <c r="E17" s="592"/>
      <c r="F17" s="465"/>
      <c r="G17" s="465"/>
      <c r="H17" s="465"/>
      <c r="I17" s="216">
        <v>681</v>
      </c>
      <c r="J17" s="465">
        <v>750</v>
      </c>
      <c r="K17" s="465">
        <v>810</v>
      </c>
      <c r="L17" s="465">
        <v>332</v>
      </c>
      <c r="M17" s="216">
        <v>570</v>
      </c>
      <c r="N17" s="465"/>
      <c r="O17" s="465"/>
      <c r="P17" s="465"/>
      <c r="Q17" s="216"/>
      <c r="R17" s="465">
        <v>33880</v>
      </c>
      <c r="S17" s="465">
        <v>33144</v>
      </c>
      <c r="T17" s="465">
        <v>20664</v>
      </c>
      <c r="U17" s="216"/>
      <c r="V17" s="465"/>
      <c r="W17" s="465"/>
      <c r="X17" s="465"/>
      <c r="Y17" s="216"/>
      <c r="Z17" s="465"/>
      <c r="AA17" s="465"/>
      <c r="AB17" s="465"/>
      <c r="AC17" s="216"/>
      <c r="AD17" s="174"/>
      <c r="AE17" s="212"/>
      <c r="AF17" s="212"/>
      <c r="AG17" s="212"/>
      <c r="AH17" s="161"/>
      <c r="AI17" s="216"/>
      <c r="AJ17" s="216"/>
      <c r="AK17" s="216"/>
      <c r="AL17" s="89"/>
      <c r="AM17" s="213">
        <f aca="true" t="shared" si="1" ref="AM17:AM30">SUM(K17:M17)</f>
        <v>1712</v>
      </c>
      <c r="AN17" s="213">
        <f aca="true" t="shared" si="2" ref="AN17:AN30">SUM(O17:Q17)</f>
        <v>0</v>
      </c>
      <c r="AO17" s="31">
        <f aca="true" t="shared" si="3" ref="AO17:AO28">AR17-AS17</f>
        <v>2462</v>
      </c>
      <c r="AP17" s="30" t="e">
        <f aca="true" t="shared" si="4" ref="AP17:AP28">IF(OR((AO17/AS17)&gt;3,(AO17/AS17)&lt;-3),"n.m.",(AO17/AS17))</f>
        <v>#DIV/0!</v>
      </c>
      <c r="AQ17" s="83"/>
      <c r="AR17" s="201">
        <f aca="true" t="shared" si="5" ref="AR17:AR30">SUM(J17:M17)</f>
        <v>2462</v>
      </c>
      <c r="AS17" s="201"/>
      <c r="AT17" s="201"/>
      <c r="AU17" s="201"/>
      <c r="AV17" s="201"/>
      <c r="AW17" s="201"/>
      <c r="AX17" s="201"/>
      <c r="AY17" s="364"/>
      <c r="AZ17" s="364"/>
      <c r="BA17" s="364"/>
      <c r="BB17" s="148"/>
      <c r="BD17" s="3"/>
      <c r="BG17" s="3"/>
    </row>
    <row r="18" spans="1:59" ht="12.75" customHeight="1">
      <c r="A18" s="142"/>
      <c r="B18" s="7" t="s">
        <v>400</v>
      </c>
      <c r="C18" s="471"/>
      <c r="D18" s="149"/>
      <c r="E18" s="592"/>
      <c r="F18" s="475"/>
      <c r="G18" s="475"/>
      <c r="H18" s="475"/>
      <c r="I18" s="219">
        <v>0</v>
      </c>
      <c r="J18" s="475">
        <v>2</v>
      </c>
      <c r="K18" s="475">
        <v>16</v>
      </c>
      <c r="L18" s="475">
        <v>0</v>
      </c>
      <c r="M18" s="219">
        <v>0</v>
      </c>
      <c r="N18" s="475"/>
      <c r="O18" s="475"/>
      <c r="P18" s="475"/>
      <c r="Q18" s="219"/>
      <c r="R18" s="475">
        <v>1641</v>
      </c>
      <c r="S18" s="475">
        <v>2757</v>
      </c>
      <c r="T18" s="475">
        <v>897</v>
      </c>
      <c r="U18" s="216"/>
      <c r="V18" s="465"/>
      <c r="W18" s="465"/>
      <c r="X18" s="465"/>
      <c r="Y18" s="216"/>
      <c r="Z18" s="465"/>
      <c r="AA18" s="465"/>
      <c r="AB18" s="465"/>
      <c r="AC18" s="216"/>
      <c r="AD18" s="174"/>
      <c r="AE18" s="212"/>
      <c r="AF18" s="212"/>
      <c r="AG18" s="212"/>
      <c r="AH18" s="161"/>
      <c r="AI18" s="216"/>
      <c r="AJ18" s="216"/>
      <c r="AK18" s="216"/>
      <c r="AL18" s="89"/>
      <c r="AM18" s="396">
        <f t="shared" si="1"/>
        <v>16</v>
      </c>
      <c r="AN18" s="396">
        <f t="shared" si="2"/>
        <v>0</v>
      </c>
      <c r="AO18" s="158">
        <f t="shared" si="3"/>
        <v>18</v>
      </c>
      <c r="AP18" s="149" t="e">
        <f t="shared" si="4"/>
        <v>#DIV/0!</v>
      </c>
      <c r="AQ18" s="83"/>
      <c r="AR18" s="207">
        <f t="shared" si="5"/>
        <v>18</v>
      </c>
      <c r="AS18" s="207"/>
      <c r="AT18" s="207"/>
      <c r="AU18" s="207"/>
      <c r="AV18" s="207"/>
      <c r="AW18" s="207"/>
      <c r="AX18" s="201"/>
      <c r="AY18" s="364"/>
      <c r="AZ18" s="364"/>
      <c r="BA18" s="364"/>
      <c r="BB18" s="148"/>
      <c r="BD18" s="3"/>
      <c r="BG18" s="3"/>
    </row>
    <row r="19" spans="1:59" ht="12.75" customHeight="1">
      <c r="A19" s="8"/>
      <c r="B19" s="83" t="s">
        <v>260</v>
      </c>
      <c r="C19" s="38"/>
      <c r="D19" s="30"/>
      <c r="E19" s="592"/>
      <c r="F19" s="465">
        <f aca="true" t="shared" si="6" ref="F19:M19">SUM(F17:F18)</f>
        <v>0</v>
      </c>
      <c r="G19" s="465">
        <f t="shared" si="6"/>
        <v>0</v>
      </c>
      <c r="H19" s="465">
        <f t="shared" si="6"/>
        <v>0</v>
      </c>
      <c r="I19" s="216">
        <f t="shared" si="6"/>
        <v>681</v>
      </c>
      <c r="J19" s="465">
        <f t="shared" si="6"/>
        <v>752</v>
      </c>
      <c r="K19" s="465">
        <f t="shared" si="6"/>
        <v>826</v>
      </c>
      <c r="L19" s="465">
        <f t="shared" si="6"/>
        <v>332</v>
      </c>
      <c r="M19" s="216">
        <f t="shared" si="6"/>
        <v>570</v>
      </c>
      <c r="N19" s="465"/>
      <c r="O19" s="465"/>
      <c r="P19" s="465"/>
      <c r="Q19" s="216"/>
      <c r="R19" s="465">
        <v>35521</v>
      </c>
      <c r="S19" s="465">
        <v>35901</v>
      </c>
      <c r="T19" s="465">
        <v>21561</v>
      </c>
      <c r="U19" s="216">
        <v>23281</v>
      </c>
      <c r="V19" s="465">
        <v>26203</v>
      </c>
      <c r="W19" s="465">
        <v>24376</v>
      </c>
      <c r="X19" s="465">
        <v>19368</v>
      </c>
      <c r="Y19" s="216">
        <v>18643</v>
      </c>
      <c r="Z19" s="465">
        <v>13122</v>
      </c>
      <c r="AA19" s="465">
        <v>14195</v>
      </c>
      <c r="AB19" s="465">
        <v>20116</v>
      </c>
      <c r="AC19" s="216">
        <v>26950</v>
      </c>
      <c r="AD19" s="174">
        <v>24166</v>
      </c>
      <c r="AE19" s="212">
        <v>28443</v>
      </c>
      <c r="AF19" s="212">
        <v>25351</v>
      </c>
      <c r="AG19" s="212">
        <v>37680</v>
      </c>
      <c r="AH19" s="161">
        <v>36567</v>
      </c>
      <c r="AI19" s="216">
        <v>31848</v>
      </c>
      <c r="AJ19" s="216">
        <v>24885</v>
      </c>
      <c r="AK19" s="216">
        <v>33368</v>
      </c>
      <c r="AL19" s="89"/>
      <c r="AM19" s="213">
        <f t="shared" si="1"/>
        <v>1728</v>
      </c>
      <c r="AN19" s="213">
        <f t="shared" si="2"/>
        <v>0</v>
      </c>
      <c r="AO19" s="31">
        <f t="shared" si="3"/>
        <v>2480</v>
      </c>
      <c r="AP19" s="30" t="e">
        <f t="shared" si="4"/>
        <v>#DIV/0!</v>
      </c>
      <c r="AQ19" s="83"/>
      <c r="AR19" s="201">
        <f>SUM(AR17:AR18)</f>
        <v>2480</v>
      </c>
      <c r="AS19" s="201"/>
      <c r="AT19" s="201"/>
      <c r="AU19" s="201"/>
      <c r="AV19" s="201"/>
      <c r="AW19" s="201"/>
      <c r="AX19" s="201"/>
      <c r="AY19" s="364"/>
      <c r="AZ19" s="364"/>
      <c r="BA19" s="364"/>
      <c r="BB19" s="148"/>
      <c r="BD19" s="3"/>
      <c r="BG19" s="3"/>
    </row>
    <row r="20" spans="1:59" ht="12.75" customHeight="1">
      <c r="A20" s="8"/>
      <c r="B20" s="227" t="s">
        <v>74</v>
      </c>
      <c r="C20" s="38"/>
      <c r="D20" s="30"/>
      <c r="E20" s="592"/>
      <c r="F20" s="465"/>
      <c r="G20" s="465"/>
      <c r="H20" s="465"/>
      <c r="I20" s="216">
        <v>6</v>
      </c>
      <c r="J20" s="465">
        <v>53</v>
      </c>
      <c r="K20" s="465">
        <v>17</v>
      </c>
      <c r="L20" s="465">
        <v>0</v>
      </c>
      <c r="M20" s="216">
        <v>1</v>
      </c>
      <c r="N20" s="465"/>
      <c r="O20" s="465"/>
      <c r="P20" s="465"/>
      <c r="Q20" s="216"/>
      <c r="R20" s="465">
        <v>5565</v>
      </c>
      <c r="S20" s="465">
        <v>3601</v>
      </c>
      <c r="T20" s="465">
        <v>4817</v>
      </c>
      <c r="U20" s="216">
        <v>3882</v>
      </c>
      <c r="V20" s="465">
        <v>5573</v>
      </c>
      <c r="W20" s="465">
        <v>4015</v>
      </c>
      <c r="X20" s="465">
        <v>4360</v>
      </c>
      <c r="Y20" s="216">
        <v>4246</v>
      </c>
      <c r="Z20" s="465">
        <v>4505</v>
      </c>
      <c r="AA20" s="465">
        <v>3057</v>
      </c>
      <c r="AB20" s="465">
        <v>3477</v>
      </c>
      <c r="AC20" s="216">
        <v>3781</v>
      </c>
      <c r="AD20" s="174">
        <v>4683</v>
      </c>
      <c r="AE20" s="212">
        <v>3272</v>
      </c>
      <c r="AF20" s="212">
        <v>3510</v>
      </c>
      <c r="AG20" s="212">
        <v>4049</v>
      </c>
      <c r="AH20" s="161">
        <v>4303</v>
      </c>
      <c r="AI20" s="216">
        <v>3039</v>
      </c>
      <c r="AJ20" s="216">
        <v>2854</v>
      </c>
      <c r="AK20" s="216">
        <v>3430</v>
      </c>
      <c r="AL20" s="89"/>
      <c r="AM20" s="213">
        <f t="shared" si="1"/>
        <v>18</v>
      </c>
      <c r="AN20" s="213">
        <f t="shared" si="2"/>
        <v>0</v>
      </c>
      <c r="AO20" s="31">
        <f t="shared" si="3"/>
        <v>71</v>
      </c>
      <c r="AP20" s="30" t="e">
        <f t="shared" si="4"/>
        <v>#DIV/0!</v>
      </c>
      <c r="AQ20" s="83"/>
      <c r="AR20" s="201">
        <f t="shared" si="5"/>
        <v>71</v>
      </c>
      <c r="AS20" s="201"/>
      <c r="AT20" s="201"/>
      <c r="AU20" s="201"/>
      <c r="AV20" s="201"/>
      <c r="AW20" s="201"/>
      <c r="AX20" s="201"/>
      <c r="AY20" s="364"/>
      <c r="AZ20" s="364"/>
      <c r="BA20" s="364"/>
      <c r="BB20" s="148"/>
      <c r="BD20" s="3"/>
      <c r="BG20" s="3"/>
    </row>
    <row r="21" spans="1:59" ht="12.75" customHeight="1">
      <c r="A21" s="8"/>
      <c r="B21" s="227" t="s">
        <v>75</v>
      </c>
      <c r="C21" s="38"/>
      <c r="D21" s="30"/>
      <c r="E21" s="592"/>
      <c r="F21" s="465"/>
      <c r="G21" s="465"/>
      <c r="H21" s="465"/>
      <c r="I21" s="216">
        <v>221</v>
      </c>
      <c r="J21" s="465">
        <v>159</v>
      </c>
      <c r="K21" s="465">
        <v>53</v>
      </c>
      <c r="L21" s="465">
        <v>197</v>
      </c>
      <c r="M21" s="216">
        <v>132</v>
      </c>
      <c r="N21" s="465"/>
      <c r="O21" s="465"/>
      <c r="P21" s="465"/>
      <c r="Q21" s="216"/>
      <c r="R21" s="465">
        <v>2253</v>
      </c>
      <c r="S21" s="465">
        <v>2017</v>
      </c>
      <c r="T21" s="465">
        <v>1577</v>
      </c>
      <c r="U21" s="216">
        <v>2224</v>
      </c>
      <c r="V21" s="465">
        <v>2320</v>
      </c>
      <c r="W21" s="465">
        <v>1910</v>
      </c>
      <c r="X21" s="465">
        <v>2120</v>
      </c>
      <c r="Y21" s="216">
        <v>2156</v>
      </c>
      <c r="Z21" s="465">
        <v>1697</v>
      </c>
      <c r="AA21" s="465">
        <v>1856</v>
      </c>
      <c r="AB21" s="465">
        <v>1606</v>
      </c>
      <c r="AC21" s="216">
        <v>1849</v>
      </c>
      <c r="AD21" s="174">
        <v>1694</v>
      </c>
      <c r="AE21" s="212">
        <v>2331</v>
      </c>
      <c r="AF21" s="212">
        <v>2158</v>
      </c>
      <c r="AG21" s="212">
        <v>2399</v>
      </c>
      <c r="AH21" s="161">
        <v>2477</v>
      </c>
      <c r="AI21" s="216">
        <v>2338</v>
      </c>
      <c r="AJ21" s="216">
        <v>2276</v>
      </c>
      <c r="AK21" s="216">
        <v>3066</v>
      </c>
      <c r="AL21" s="89"/>
      <c r="AM21" s="213">
        <f t="shared" si="1"/>
        <v>382</v>
      </c>
      <c r="AN21" s="213">
        <f t="shared" si="2"/>
        <v>0</v>
      </c>
      <c r="AO21" s="31">
        <f t="shared" si="3"/>
        <v>541</v>
      </c>
      <c r="AP21" s="30" t="e">
        <f t="shared" si="4"/>
        <v>#DIV/0!</v>
      </c>
      <c r="AQ21" s="83"/>
      <c r="AR21" s="201">
        <f t="shared" si="5"/>
        <v>541</v>
      </c>
      <c r="AS21" s="201"/>
      <c r="AT21" s="201"/>
      <c r="AU21" s="201"/>
      <c r="AV21" s="201"/>
      <c r="AW21" s="201"/>
      <c r="AX21" s="201"/>
      <c r="AY21" s="364"/>
      <c r="AZ21" s="364"/>
      <c r="BA21" s="364"/>
      <c r="BB21" s="148"/>
      <c r="BD21" s="3"/>
      <c r="BG21" s="3"/>
    </row>
    <row r="22" spans="1:59" ht="12.75" customHeight="1">
      <c r="A22" s="8"/>
      <c r="B22" s="227" t="s">
        <v>76</v>
      </c>
      <c r="C22" s="38"/>
      <c r="D22" s="30"/>
      <c r="E22" s="592"/>
      <c r="F22" s="465"/>
      <c r="G22" s="465"/>
      <c r="H22" s="465"/>
      <c r="I22" s="216">
        <v>-7</v>
      </c>
      <c r="J22" s="465">
        <v>52</v>
      </c>
      <c r="K22" s="465">
        <v>43</v>
      </c>
      <c r="L22" s="465">
        <v>70</v>
      </c>
      <c r="M22" s="216">
        <v>49</v>
      </c>
      <c r="N22" s="465"/>
      <c r="O22" s="465"/>
      <c r="P22" s="465"/>
      <c r="Q22" s="216"/>
      <c r="R22" s="465">
        <v>2030</v>
      </c>
      <c r="S22" s="465">
        <v>1993</v>
      </c>
      <c r="T22" s="465">
        <v>2068</v>
      </c>
      <c r="U22" s="216">
        <v>1948</v>
      </c>
      <c r="V22" s="465">
        <v>2016</v>
      </c>
      <c r="W22" s="465">
        <v>2074</v>
      </c>
      <c r="X22" s="465">
        <v>2075</v>
      </c>
      <c r="Y22" s="216">
        <v>1951</v>
      </c>
      <c r="Z22" s="465">
        <v>1822</v>
      </c>
      <c r="AA22" s="465">
        <v>1632</v>
      </c>
      <c r="AB22" s="465">
        <v>1702</v>
      </c>
      <c r="AC22" s="216">
        <v>1632</v>
      </c>
      <c r="AD22" s="174">
        <v>1630</v>
      </c>
      <c r="AE22" s="212">
        <v>1605</v>
      </c>
      <c r="AF22" s="212">
        <v>1605</v>
      </c>
      <c r="AG22" s="212">
        <v>1535</v>
      </c>
      <c r="AH22" s="161">
        <v>1555</v>
      </c>
      <c r="AI22" s="216">
        <v>1528</v>
      </c>
      <c r="AJ22" s="216">
        <v>1534</v>
      </c>
      <c r="AK22" s="216">
        <v>1536</v>
      </c>
      <c r="AL22" s="89"/>
      <c r="AM22" s="213">
        <f t="shared" si="1"/>
        <v>162</v>
      </c>
      <c r="AN22" s="213">
        <f t="shared" si="2"/>
        <v>0</v>
      </c>
      <c r="AO22" s="31">
        <f t="shared" si="3"/>
        <v>214</v>
      </c>
      <c r="AP22" s="30" t="e">
        <f t="shared" si="4"/>
        <v>#DIV/0!</v>
      </c>
      <c r="AQ22" s="83"/>
      <c r="AR22" s="201">
        <f t="shared" si="5"/>
        <v>214</v>
      </c>
      <c r="AS22" s="201"/>
      <c r="AT22" s="201"/>
      <c r="AU22" s="201"/>
      <c r="AV22" s="201"/>
      <c r="AW22" s="201"/>
      <c r="AX22" s="201"/>
      <c r="AY22" s="364"/>
      <c r="AZ22" s="364"/>
      <c r="BA22" s="364"/>
      <c r="BB22" s="148"/>
      <c r="BD22" s="3"/>
      <c r="BG22" s="3"/>
    </row>
    <row r="23" spans="1:59" ht="12.75" customHeight="1">
      <c r="A23" s="8"/>
      <c r="B23" s="227" t="s">
        <v>77</v>
      </c>
      <c r="C23" s="38"/>
      <c r="D23" s="30"/>
      <c r="E23" s="592"/>
      <c r="F23" s="465"/>
      <c r="G23" s="465"/>
      <c r="H23" s="465"/>
      <c r="I23" s="216">
        <v>70</v>
      </c>
      <c r="J23" s="465">
        <v>23</v>
      </c>
      <c r="K23" s="465">
        <v>44</v>
      </c>
      <c r="L23" s="465">
        <v>30</v>
      </c>
      <c r="M23" s="216">
        <v>36</v>
      </c>
      <c r="N23" s="465"/>
      <c r="O23" s="465"/>
      <c r="P23" s="465"/>
      <c r="Q23" s="216"/>
      <c r="R23" s="465">
        <v>1256</v>
      </c>
      <c r="S23" s="465">
        <v>1264</v>
      </c>
      <c r="T23" s="465">
        <v>1329</v>
      </c>
      <c r="U23" s="216">
        <v>1325</v>
      </c>
      <c r="V23" s="465">
        <v>1426</v>
      </c>
      <c r="W23" s="465">
        <v>1660</v>
      </c>
      <c r="X23" s="465">
        <v>1494</v>
      </c>
      <c r="Y23" s="216">
        <v>1536</v>
      </c>
      <c r="Z23" s="465">
        <v>1630</v>
      </c>
      <c r="AA23" s="465">
        <v>1590</v>
      </c>
      <c r="AB23" s="465">
        <v>1556</v>
      </c>
      <c r="AC23" s="216">
        <v>1639</v>
      </c>
      <c r="AD23" s="174">
        <v>1596</v>
      </c>
      <c r="AE23" s="212">
        <v>1544</v>
      </c>
      <c r="AF23" s="212">
        <v>1573</v>
      </c>
      <c r="AG23" s="212">
        <v>1670</v>
      </c>
      <c r="AH23" s="161">
        <v>1639</v>
      </c>
      <c r="AI23" s="216">
        <v>1526</v>
      </c>
      <c r="AJ23" s="216">
        <v>1571</v>
      </c>
      <c r="AK23" s="216">
        <v>1602</v>
      </c>
      <c r="AL23" s="89"/>
      <c r="AM23" s="213">
        <f t="shared" si="1"/>
        <v>110</v>
      </c>
      <c r="AN23" s="213">
        <f t="shared" si="2"/>
        <v>0</v>
      </c>
      <c r="AO23" s="31">
        <f t="shared" si="3"/>
        <v>133</v>
      </c>
      <c r="AP23" s="30" t="e">
        <f t="shared" si="4"/>
        <v>#DIV/0!</v>
      </c>
      <c r="AQ23" s="83"/>
      <c r="AR23" s="201">
        <f t="shared" si="5"/>
        <v>133</v>
      </c>
      <c r="AS23" s="201"/>
      <c r="AT23" s="201"/>
      <c r="AU23" s="201"/>
      <c r="AV23" s="201"/>
      <c r="AW23" s="201"/>
      <c r="AX23" s="201"/>
      <c r="AY23" s="364"/>
      <c r="AZ23" s="364"/>
      <c r="BA23" s="364"/>
      <c r="BB23" s="148"/>
      <c r="BD23" s="3"/>
      <c r="BG23" s="3"/>
    </row>
    <row r="24" spans="1:59" ht="12.75" customHeight="1">
      <c r="A24" s="8"/>
      <c r="B24" s="227" t="s">
        <v>72</v>
      </c>
      <c r="C24" s="38"/>
      <c r="D24" s="30"/>
      <c r="E24" s="592"/>
      <c r="F24" s="465"/>
      <c r="G24" s="465"/>
      <c r="H24" s="465"/>
      <c r="I24" s="216">
        <v>2</v>
      </c>
      <c r="J24" s="465">
        <v>2</v>
      </c>
      <c r="K24" s="465">
        <v>2</v>
      </c>
      <c r="L24" s="465">
        <v>2</v>
      </c>
      <c r="M24" s="216">
        <v>4</v>
      </c>
      <c r="N24" s="465"/>
      <c r="O24" s="465"/>
      <c r="P24" s="465"/>
      <c r="Q24" s="216"/>
      <c r="R24" s="465">
        <v>90</v>
      </c>
      <c r="S24" s="465">
        <v>97</v>
      </c>
      <c r="T24" s="465">
        <v>63</v>
      </c>
      <c r="U24" s="216">
        <v>58</v>
      </c>
      <c r="V24" s="465">
        <v>44</v>
      </c>
      <c r="W24" s="465">
        <v>51</v>
      </c>
      <c r="X24" s="465">
        <v>104</v>
      </c>
      <c r="Y24" s="216">
        <v>243</v>
      </c>
      <c r="Z24" s="465">
        <v>671</v>
      </c>
      <c r="AA24" s="465">
        <v>1758</v>
      </c>
      <c r="AB24" s="465">
        <v>2459</v>
      </c>
      <c r="AC24" s="216">
        <v>2915</v>
      </c>
      <c r="AD24" s="174">
        <v>4124</v>
      </c>
      <c r="AE24" s="212">
        <v>5305</v>
      </c>
      <c r="AF24" s="212">
        <v>5435</v>
      </c>
      <c r="AG24" s="212">
        <v>5060</v>
      </c>
      <c r="AH24" s="161">
        <v>4659</v>
      </c>
      <c r="AI24" s="216">
        <v>4412</v>
      </c>
      <c r="AJ24" s="216">
        <v>4434</v>
      </c>
      <c r="AK24" s="216">
        <v>4246</v>
      </c>
      <c r="AL24" s="89"/>
      <c r="AM24" s="213">
        <f t="shared" si="1"/>
        <v>8</v>
      </c>
      <c r="AN24" s="213">
        <f t="shared" si="2"/>
        <v>0</v>
      </c>
      <c r="AO24" s="31">
        <f t="shared" si="3"/>
        <v>10</v>
      </c>
      <c r="AP24" s="30" t="e">
        <f t="shared" si="4"/>
        <v>#DIV/0!</v>
      </c>
      <c r="AQ24" s="83"/>
      <c r="AR24" s="201">
        <f t="shared" si="5"/>
        <v>10</v>
      </c>
      <c r="AS24" s="201"/>
      <c r="AT24" s="201"/>
      <c r="AU24" s="201"/>
      <c r="AV24" s="201"/>
      <c r="AW24" s="201"/>
      <c r="AX24" s="201"/>
      <c r="AY24" s="364"/>
      <c r="AZ24" s="364"/>
      <c r="BA24" s="364"/>
      <c r="BB24" s="148"/>
      <c r="BD24" s="3"/>
      <c r="BG24" s="3"/>
    </row>
    <row r="25" spans="1:59" ht="12.75" customHeight="1">
      <c r="A25" s="8"/>
      <c r="B25" s="227" t="s">
        <v>101</v>
      </c>
      <c r="C25" s="38"/>
      <c r="D25" s="30"/>
      <c r="E25" s="592"/>
      <c r="F25" s="465"/>
      <c r="G25" s="465"/>
      <c r="H25" s="465"/>
      <c r="I25" s="216">
        <v>104</v>
      </c>
      <c r="J25" s="465">
        <v>78</v>
      </c>
      <c r="K25" s="465">
        <v>143</v>
      </c>
      <c r="L25" s="465">
        <v>180</v>
      </c>
      <c r="M25" s="216">
        <v>128</v>
      </c>
      <c r="N25" s="465"/>
      <c r="O25" s="465"/>
      <c r="P25" s="465"/>
      <c r="Q25" s="216"/>
      <c r="R25" s="465">
        <v>4728</v>
      </c>
      <c r="S25" s="465">
        <v>4268</v>
      </c>
      <c r="T25" s="465">
        <v>4186</v>
      </c>
      <c r="U25" s="216">
        <v>3730</v>
      </c>
      <c r="V25" s="465">
        <v>6030</v>
      </c>
      <c r="W25" s="465">
        <v>4108</v>
      </c>
      <c r="X25" s="465">
        <v>2461</v>
      </c>
      <c r="Y25" s="216">
        <v>3886</v>
      </c>
      <c r="Z25" s="465">
        <v>2268</v>
      </c>
      <c r="AA25" s="465">
        <v>7826</v>
      </c>
      <c r="AB25" s="465">
        <v>3206</v>
      </c>
      <c r="AC25" s="216">
        <v>3942</v>
      </c>
      <c r="AD25" s="174">
        <v>3477</v>
      </c>
      <c r="AE25" s="212">
        <v>3587</v>
      </c>
      <c r="AF25" s="212">
        <v>2594</v>
      </c>
      <c r="AG25" s="212">
        <v>2953</v>
      </c>
      <c r="AH25" s="161">
        <v>2341</v>
      </c>
      <c r="AI25" s="216">
        <v>3444</v>
      </c>
      <c r="AJ25" s="216">
        <v>1855</v>
      </c>
      <c r="AK25" s="216">
        <v>6038</v>
      </c>
      <c r="AL25" s="89"/>
      <c r="AM25" s="213">
        <f t="shared" si="1"/>
        <v>451</v>
      </c>
      <c r="AN25" s="213">
        <f t="shared" si="2"/>
        <v>0</v>
      </c>
      <c r="AO25" s="31">
        <f t="shared" si="3"/>
        <v>529</v>
      </c>
      <c r="AP25" s="30" t="e">
        <f t="shared" si="4"/>
        <v>#DIV/0!</v>
      </c>
      <c r="AQ25" s="83"/>
      <c r="AR25" s="201">
        <f t="shared" si="5"/>
        <v>529</v>
      </c>
      <c r="AS25" s="201"/>
      <c r="AT25" s="201"/>
      <c r="AU25" s="201"/>
      <c r="AV25" s="201"/>
      <c r="AW25" s="201"/>
      <c r="AX25" s="201"/>
      <c r="AY25" s="364"/>
      <c r="AZ25" s="364"/>
      <c r="BA25" s="364"/>
      <c r="BB25" s="148"/>
      <c r="BD25" s="3"/>
      <c r="BE25" s="3"/>
      <c r="BF25" s="3"/>
      <c r="BG25" s="3"/>
    </row>
    <row r="26" spans="1:59" ht="12.75" customHeight="1">
      <c r="A26" s="8"/>
      <c r="B26" s="227" t="s">
        <v>79</v>
      </c>
      <c r="C26" s="38"/>
      <c r="D26" s="30"/>
      <c r="E26" s="592"/>
      <c r="F26" s="465"/>
      <c r="G26" s="465"/>
      <c r="H26" s="465"/>
      <c r="I26" s="216">
        <v>127</v>
      </c>
      <c r="J26" s="465">
        <v>37</v>
      </c>
      <c r="K26" s="465">
        <v>44</v>
      </c>
      <c r="L26" s="465">
        <v>42</v>
      </c>
      <c r="M26" s="216">
        <v>47</v>
      </c>
      <c r="N26" s="465"/>
      <c r="O26" s="465"/>
      <c r="P26" s="465"/>
      <c r="Q26" s="216"/>
      <c r="R26" s="465">
        <v>632</v>
      </c>
      <c r="S26" s="465">
        <v>596</v>
      </c>
      <c r="T26" s="465">
        <v>575</v>
      </c>
      <c r="U26" s="216">
        <v>619</v>
      </c>
      <c r="V26" s="465">
        <v>649</v>
      </c>
      <c r="W26" s="465">
        <v>637</v>
      </c>
      <c r="X26" s="465">
        <v>618</v>
      </c>
      <c r="Y26" s="216">
        <v>602</v>
      </c>
      <c r="Z26" s="465">
        <v>655</v>
      </c>
      <c r="AA26" s="465">
        <v>463</v>
      </c>
      <c r="AB26" s="465">
        <v>411</v>
      </c>
      <c r="AC26" s="216">
        <v>409</v>
      </c>
      <c r="AD26" s="174">
        <v>436</v>
      </c>
      <c r="AE26" s="212">
        <v>495</v>
      </c>
      <c r="AF26" s="212">
        <v>472</v>
      </c>
      <c r="AG26" s="212">
        <v>430</v>
      </c>
      <c r="AH26" s="161">
        <v>438</v>
      </c>
      <c r="AI26" s="216">
        <v>380</v>
      </c>
      <c r="AJ26" s="216">
        <v>420</v>
      </c>
      <c r="AK26" s="216">
        <v>410</v>
      </c>
      <c r="AL26" s="89"/>
      <c r="AM26" s="213">
        <f t="shared" si="1"/>
        <v>133</v>
      </c>
      <c r="AN26" s="213">
        <f t="shared" si="2"/>
        <v>0</v>
      </c>
      <c r="AO26" s="31">
        <f t="shared" si="3"/>
        <v>170</v>
      </c>
      <c r="AP26" s="30" t="e">
        <f t="shared" si="4"/>
        <v>#DIV/0!</v>
      </c>
      <c r="AQ26" s="83"/>
      <c r="AR26" s="201">
        <f t="shared" si="5"/>
        <v>170</v>
      </c>
      <c r="AS26" s="201"/>
      <c r="AT26" s="201"/>
      <c r="AU26" s="201"/>
      <c r="AV26" s="201"/>
      <c r="AW26" s="201"/>
      <c r="AX26" s="201"/>
      <c r="AY26" s="364"/>
      <c r="AZ26" s="364"/>
      <c r="BA26" s="364"/>
      <c r="BB26" s="148"/>
      <c r="BD26" s="3"/>
      <c r="BE26" s="3"/>
      <c r="BF26" s="3"/>
      <c r="BG26" s="3"/>
    </row>
    <row r="27" spans="1:59" ht="12.75" customHeight="1">
      <c r="A27" s="7"/>
      <c r="B27" s="227" t="s">
        <v>80</v>
      </c>
      <c r="C27" s="38"/>
      <c r="D27" s="30"/>
      <c r="E27" s="592"/>
      <c r="F27" s="465"/>
      <c r="G27" s="465"/>
      <c r="H27" s="465"/>
      <c r="I27" s="216">
        <v>127</v>
      </c>
      <c r="J27" s="213">
        <v>0</v>
      </c>
      <c r="K27" s="213">
        <v>0</v>
      </c>
      <c r="L27" s="465">
        <v>0</v>
      </c>
      <c r="M27" s="216">
        <v>0</v>
      </c>
      <c r="N27" s="465"/>
      <c r="O27" s="465"/>
      <c r="P27" s="465"/>
      <c r="Q27" s="216"/>
      <c r="R27" s="465">
        <v>2125</v>
      </c>
      <c r="S27" s="465">
        <v>2275</v>
      </c>
      <c r="T27" s="465">
        <v>2425</v>
      </c>
      <c r="U27" s="216">
        <v>2433</v>
      </c>
      <c r="V27" s="465">
        <v>2574</v>
      </c>
      <c r="W27" s="465">
        <v>3216</v>
      </c>
      <c r="X27" s="465">
        <v>2613</v>
      </c>
      <c r="Y27" s="216">
        <v>1905</v>
      </c>
      <c r="Z27" s="465">
        <v>2597</v>
      </c>
      <c r="AA27" s="465">
        <v>2312</v>
      </c>
      <c r="AB27" s="465">
        <v>1378</v>
      </c>
      <c r="AC27" s="216">
        <v>1566</v>
      </c>
      <c r="AD27" s="174">
        <v>1897</v>
      </c>
      <c r="AE27" s="212">
        <v>1550</v>
      </c>
      <c r="AF27" s="212">
        <v>1341</v>
      </c>
      <c r="AG27" s="212">
        <v>1372</v>
      </c>
      <c r="AH27" s="161">
        <v>1370</v>
      </c>
      <c r="AI27" s="216">
        <v>1663</v>
      </c>
      <c r="AJ27" s="216">
        <v>1517</v>
      </c>
      <c r="AK27" s="216">
        <v>1521</v>
      </c>
      <c r="AL27" s="89"/>
      <c r="AM27" s="213">
        <f t="shared" si="1"/>
        <v>0</v>
      </c>
      <c r="AN27" s="213">
        <f t="shared" si="2"/>
        <v>0</v>
      </c>
      <c r="AO27" s="31">
        <f t="shared" si="3"/>
        <v>0</v>
      </c>
      <c r="AP27" s="30" t="e">
        <f t="shared" si="4"/>
        <v>#DIV/0!</v>
      </c>
      <c r="AQ27" s="83"/>
      <c r="AR27" s="201">
        <f t="shared" si="5"/>
        <v>0</v>
      </c>
      <c r="AS27" s="201"/>
      <c r="AT27" s="201"/>
      <c r="AU27" s="201"/>
      <c r="AV27" s="201"/>
      <c r="AW27" s="201"/>
      <c r="AX27" s="201"/>
      <c r="AY27" s="364"/>
      <c r="AZ27" s="364"/>
      <c r="BA27" s="364"/>
      <c r="BB27" s="148"/>
      <c r="BD27" s="3"/>
      <c r="BE27" s="3"/>
      <c r="BF27" s="3"/>
      <c r="BG27" s="3"/>
    </row>
    <row r="28" spans="1:59" ht="12.75" customHeight="1">
      <c r="A28" s="7"/>
      <c r="B28" s="7" t="s">
        <v>193</v>
      </c>
      <c r="C28" s="38"/>
      <c r="D28" s="588"/>
      <c r="E28" s="592"/>
      <c r="F28" s="213"/>
      <c r="G28" s="213"/>
      <c r="H28" s="213"/>
      <c r="I28" s="168">
        <v>0</v>
      </c>
      <c r="J28" s="213">
        <v>0</v>
      </c>
      <c r="K28" s="213">
        <v>0</v>
      </c>
      <c r="L28" s="213">
        <v>0</v>
      </c>
      <c r="M28" s="168">
        <v>0</v>
      </c>
      <c r="N28" s="213"/>
      <c r="O28" s="213"/>
      <c r="P28" s="213"/>
      <c r="Q28" s="168"/>
      <c r="R28" s="213">
        <v>0</v>
      </c>
      <c r="S28" s="213">
        <v>0</v>
      </c>
      <c r="T28" s="213">
        <v>0</v>
      </c>
      <c r="U28" s="168">
        <v>0</v>
      </c>
      <c r="V28" s="213">
        <v>0</v>
      </c>
      <c r="W28" s="213">
        <v>0</v>
      </c>
      <c r="X28" s="213">
        <v>0</v>
      </c>
      <c r="Y28" s="168">
        <v>0</v>
      </c>
      <c r="Z28" s="213">
        <v>0</v>
      </c>
      <c r="AA28" s="213">
        <v>5347</v>
      </c>
      <c r="AB28" s="213">
        <v>0</v>
      </c>
      <c r="AC28" s="30">
        <v>0</v>
      </c>
      <c r="AD28" s="175">
        <v>54200</v>
      </c>
      <c r="AE28" s="213">
        <v>0</v>
      </c>
      <c r="AF28" s="213">
        <v>0</v>
      </c>
      <c r="AG28" s="168">
        <v>0</v>
      </c>
      <c r="AH28" s="177">
        <v>0</v>
      </c>
      <c r="AI28" s="168">
        <v>0</v>
      </c>
      <c r="AJ28" s="168">
        <v>0</v>
      </c>
      <c r="AK28" s="168">
        <v>0</v>
      </c>
      <c r="AL28" s="89"/>
      <c r="AM28" s="213">
        <f t="shared" si="1"/>
        <v>0</v>
      </c>
      <c r="AN28" s="213">
        <f t="shared" si="2"/>
        <v>0</v>
      </c>
      <c r="AO28" s="31">
        <f t="shared" si="3"/>
        <v>0</v>
      </c>
      <c r="AP28" s="30" t="e">
        <f t="shared" si="4"/>
        <v>#DIV/0!</v>
      </c>
      <c r="AQ28" s="83"/>
      <c r="AR28" s="201">
        <f t="shared" si="5"/>
        <v>0</v>
      </c>
      <c r="AS28" s="204"/>
      <c r="AT28" s="204"/>
      <c r="AU28" s="204"/>
      <c r="AV28" s="201"/>
      <c r="AW28" s="204"/>
      <c r="AX28" s="204"/>
      <c r="AY28" s="364"/>
      <c r="AZ28" s="364"/>
      <c r="BA28" s="364"/>
      <c r="BB28" s="148"/>
      <c r="BD28" s="214"/>
      <c r="BE28" s="214"/>
      <c r="BF28" s="3"/>
      <c r="BG28" s="3"/>
    </row>
    <row r="29" spans="1:59" ht="12.75" customHeight="1">
      <c r="A29" s="7"/>
      <c r="B29" s="7" t="s">
        <v>218</v>
      </c>
      <c r="C29" s="38"/>
      <c r="D29" s="588"/>
      <c r="E29" s="592"/>
      <c r="F29" s="213"/>
      <c r="G29" s="213"/>
      <c r="H29" s="213"/>
      <c r="I29" s="168">
        <v>0</v>
      </c>
      <c r="J29" s="213">
        <v>0</v>
      </c>
      <c r="K29" s="213">
        <v>0</v>
      </c>
      <c r="L29" s="213">
        <v>0</v>
      </c>
      <c r="M29" s="168">
        <v>0</v>
      </c>
      <c r="N29" s="213"/>
      <c r="O29" s="213"/>
      <c r="P29" s="213"/>
      <c r="Q29" s="168"/>
      <c r="R29" s="213">
        <v>0</v>
      </c>
      <c r="S29" s="213">
        <v>0</v>
      </c>
      <c r="T29" s="213">
        <v>0</v>
      </c>
      <c r="U29" s="168">
        <v>0</v>
      </c>
      <c r="V29" s="213"/>
      <c r="W29" s="213"/>
      <c r="X29" s="213"/>
      <c r="Y29" s="168"/>
      <c r="Z29" s="213"/>
      <c r="AA29" s="213"/>
      <c r="AB29" s="213"/>
      <c r="AC29" s="30"/>
      <c r="AD29" s="213"/>
      <c r="AE29" s="213"/>
      <c r="AF29" s="213"/>
      <c r="AG29" s="213"/>
      <c r="AH29" s="177"/>
      <c r="AI29" s="168"/>
      <c r="AJ29" s="168"/>
      <c r="AK29" s="168"/>
      <c r="AL29" s="89"/>
      <c r="AM29" s="213">
        <f t="shared" si="1"/>
        <v>0</v>
      </c>
      <c r="AN29" s="213">
        <f t="shared" si="2"/>
        <v>0</v>
      </c>
      <c r="AO29" s="31">
        <f>AR29-AS29</f>
        <v>0</v>
      </c>
      <c r="AP29" s="30">
        <v>0</v>
      </c>
      <c r="AQ29" s="83"/>
      <c r="AR29" s="204">
        <f t="shared" si="5"/>
        <v>0</v>
      </c>
      <c r="AS29" s="204"/>
      <c r="AT29" s="204"/>
      <c r="AU29" s="204"/>
      <c r="AV29" s="204"/>
      <c r="AW29" s="204"/>
      <c r="AX29" s="204"/>
      <c r="AY29" s="364"/>
      <c r="AZ29" s="364"/>
      <c r="BA29" s="364"/>
      <c r="BB29" s="148"/>
      <c r="BD29" s="214"/>
      <c r="BE29" s="214"/>
      <c r="BF29" s="3"/>
      <c r="BG29" s="3"/>
    </row>
    <row r="30" spans="1:59" ht="12.75" customHeight="1">
      <c r="A30" s="8"/>
      <c r="B30" s="144" t="s">
        <v>192</v>
      </c>
      <c r="C30" s="38"/>
      <c r="D30" s="588"/>
      <c r="E30" s="592"/>
      <c r="F30" s="213"/>
      <c r="G30" s="213"/>
      <c r="H30" s="213"/>
      <c r="I30" s="470">
        <v>0</v>
      </c>
      <c r="J30" s="213">
        <v>0</v>
      </c>
      <c r="K30" s="213">
        <v>0</v>
      </c>
      <c r="L30" s="213">
        <v>0</v>
      </c>
      <c r="M30" s="470">
        <v>0</v>
      </c>
      <c r="N30" s="213"/>
      <c r="O30" s="213"/>
      <c r="P30" s="213"/>
      <c r="Q30" s="470"/>
      <c r="R30" s="213">
        <v>0</v>
      </c>
      <c r="S30" s="213">
        <v>0</v>
      </c>
      <c r="T30" s="213">
        <v>0</v>
      </c>
      <c r="U30" s="470">
        <v>0</v>
      </c>
      <c r="V30" s="213">
        <v>0</v>
      </c>
      <c r="W30" s="213">
        <v>0</v>
      </c>
      <c r="X30" s="213">
        <v>0</v>
      </c>
      <c r="Y30" s="470">
        <v>0</v>
      </c>
      <c r="Z30" s="213">
        <v>0</v>
      </c>
      <c r="AA30" s="465">
        <v>180</v>
      </c>
      <c r="AB30" s="213">
        <v>0</v>
      </c>
      <c r="AC30" s="30">
        <v>0</v>
      </c>
      <c r="AD30" s="213">
        <v>700</v>
      </c>
      <c r="AE30" s="213">
        <v>0</v>
      </c>
      <c r="AF30" s="213">
        <v>0</v>
      </c>
      <c r="AG30" s="213">
        <v>0</v>
      </c>
      <c r="AH30" s="177">
        <v>0</v>
      </c>
      <c r="AI30" s="168">
        <v>0</v>
      </c>
      <c r="AJ30" s="168">
        <v>0</v>
      </c>
      <c r="AK30" s="168">
        <v>0</v>
      </c>
      <c r="AL30" s="89"/>
      <c r="AM30" s="213">
        <f t="shared" si="1"/>
        <v>0</v>
      </c>
      <c r="AN30" s="213">
        <f t="shared" si="2"/>
        <v>0</v>
      </c>
      <c r="AO30" s="31">
        <v>0</v>
      </c>
      <c r="AP30" s="30">
        <v>0</v>
      </c>
      <c r="AQ30" s="83"/>
      <c r="AR30" s="204">
        <f t="shared" si="5"/>
        <v>0</v>
      </c>
      <c r="AS30" s="204"/>
      <c r="AT30" s="204"/>
      <c r="AU30" s="204"/>
      <c r="AV30" s="204"/>
      <c r="AW30" s="204"/>
      <c r="AX30" s="204"/>
      <c r="AY30" s="364"/>
      <c r="AZ30" s="364"/>
      <c r="BA30" s="364"/>
      <c r="BB30" s="148"/>
      <c r="BD30" s="3"/>
      <c r="BE30" s="3"/>
      <c r="BF30" s="3"/>
      <c r="BG30" s="3"/>
    </row>
    <row r="31" spans="1:59" ht="12.75" customHeight="1">
      <c r="A31" s="8"/>
      <c r="C31" s="169"/>
      <c r="D31" s="170"/>
      <c r="E31" s="592"/>
      <c r="F31" s="473">
        <f>SUM(F19:F30)</f>
        <v>0</v>
      </c>
      <c r="G31" s="473">
        <f>SUM(G19:G30)</f>
        <v>0</v>
      </c>
      <c r="H31" s="473">
        <f>SUM(H19:H30)</f>
        <v>0</v>
      </c>
      <c r="I31" s="221">
        <f>SUM(I19:I30)</f>
        <v>1331</v>
      </c>
      <c r="J31" s="473">
        <f aca="true" t="shared" si="7" ref="J31:U31">SUM(J19:J30)</f>
        <v>1156</v>
      </c>
      <c r="K31" s="473">
        <f t="shared" si="7"/>
        <v>1172</v>
      </c>
      <c r="L31" s="473">
        <f t="shared" si="7"/>
        <v>853</v>
      </c>
      <c r="M31" s="221">
        <f t="shared" si="7"/>
        <v>967</v>
      </c>
      <c r="N31" s="473"/>
      <c r="O31" s="473"/>
      <c r="P31" s="473"/>
      <c r="Q31" s="221"/>
      <c r="R31" s="473">
        <f t="shared" si="7"/>
        <v>54200</v>
      </c>
      <c r="S31" s="473">
        <f t="shared" si="7"/>
        <v>52012</v>
      </c>
      <c r="T31" s="473">
        <f t="shared" si="7"/>
        <v>38601</v>
      </c>
      <c r="U31" s="221">
        <f t="shared" si="7"/>
        <v>39500</v>
      </c>
      <c r="V31" s="473">
        <v>46835</v>
      </c>
      <c r="W31" s="473">
        <v>42047</v>
      </c>
      <c r="X31" s="473">
        <v>35213</v>
      </c>
      <c r="Y31" s="221">
        <v>35168</v>
      </c>
      <c r="Z31" s="473">
        <v>28967</v>
      </c>
      <c r="AA31" s="473">
        <v>40216</v>
      </c>
      <c r="AB31" s="473">
        <v>35911</v>
      </c>
      <c r="AC31" s="221">
        <v>44683</v>
      </c>
      <c r="AD31" s="178">
        <v>98603</v>
      </c>
      <c r="AE31" s="220">
        <v>48132</v>
      </c>
      <c r="AF31" s="220">
        <v>44039</v>
      </c>
      <c r="AG31" s="220">
        <v>57148</v>
      </c>
      <c r="AH31" s="171">
        <v>55349</v>
      </c>
      <c r="AI31" s="221">
        <v>50178</v>
      </c>
      <c r="AJ31" s="221">
        <v>41346</v>
      </c>
      <c r="AK31" s="221">
        <v>55217</v>
      </c>
      <c r="AL31" s="89"/>
      <c r="AM31" s="841">
        <f>SUM(AM19:AM30)</f>
        <v>2992</v>
      </c>
      <c r="AN31" s="841">
        <f>SUM(AN19:AN30)</f>
        <v>0</v>
      </c>
      <c r="AO31" s="389">
        <f>AR31-AS31</f>
        <v>4148</v>
      </c>
      <c r="AP31" s="541" t="e">
        <f>IF(OR((AO31/AS31)&gt;3,(AO31/AS31)&lt;-3),"n.m.",(AO31/AS31))</f>
        <v>#DIV/0!</v>
      </c>
      <c r="AQ31" s="89"/>
      <c r="AR31" s="221">
        <f>SUM(AR19:AR30)</f>
        <v>4148</v>
      </c>
      <c r="AS31" s="221"/>
      <c r="AT31" s="221"/>
      <c r="AU31" s="249"/>
      <c r="AV31" s="202"/>
      <c r="AW31" s="202"/>
      <c r="AX31" s="202"/>
      <c r="AY31" s="365"/>
      <c r="AZ31" s="365"/>
      <c r="BA31" s="365"/>
      <c r="BB31" s="148"/>
      <c r="BD31" s="3"/>
      <c r="BE31" s="3"/>
      <c r="BF31" s="3"/>
      <c r="BG31" s="3"/>
    </row>
    <row r="32" spans="1:59" s="96" customFormat="1" ht="24.75" customHeight="1" thickBot="1">
      <c r="A32" s="1443" t="s">
        <v>263</v>
      </c>
      <c r="B32" s="1444"/>
      <c r="C32" s="38"/>
      <c r="D32" s="539"/>
      <c r="E32" s="592"/>
      <c r="F32" s="212">
        <f aca="true" t="shared" si="8" ref="F32:L32">+F15-F31</f>
        <v>0</v>
      </c>
      <c r="G32" s="212">
        <f t="shared" si="8"/>
        <v>0</v>
      </c>
      <c r="H32" s="212">
        <f t="shared" si="8"/>
        <v>0</v>
      </c>
      <c r="I32" s="225">
        <f t="shared" si="8"/>
        <v>-576</v>
      </c>
      <c r="J32" s="178">
        <f t="shared" si="8"/>
        <v>142</v>
      </c>
      <c r="K32" s="220">
        <f t="shared" si="8"/>
        <v>-994</v>
      </c>
      <c r="L32" s="220">
        <f t="shared" si="8"/>
        <v>300</v>
      </c>
      <c r="M32" s="221">
        <f>M15-M31</f>
        <v>-123</v>
      </c>
      <c r="N32" s="178"/>
      <c r="O32" s="220"/>
      <c r="P32" s="220"/>
      <c r="Q32" s="221"/>
      <c r="R32" s="394">
        <f>R15-R31</f>
        <v>18504</v>
      </c>
      <c r="S32" s="394">
        <f>S15-S31</f>
        <v>16587</v>
      </c>
      <c r="T32" s="212">
        <f>T15-T31</f>
        <v>5938</v>
      </c>
      <c r="U32" s="225">
        <f>U15-U31</f>
        <v>7707</v>
      </c>
      <c r="V32" s="212">
        <v>8155</v>
      </c>
      <c r="W32" s="394">
        <v>9686</v>
      </c>
      <c r="X32" s="212">
        <v>4925</v>
      </c>
      <c r="Y32" s="225">
        <v>5017</v>
      </c>
      <c r="Z32" s="394">
        <v>8288</v>
      </c>
      <c r="AA32" s="394">
        <v>-6684</v>
      </c>
      <c r="AB32" s="394">
        <v>7933</v>
      </c>
      <c r="AC32" s="225">
        <v>13170</v>
      </c>
      <c r="AD32" s="226">
        <v>-44140</v>
      </c>
      <c r="AE32" s="221">
        <v>13034</v>
      </c>
      <c r="AF32" s="221">
        <v>13376</v>
      </c>
      <c r="AG32" s="220">
        <v>18935</v>
      </c>
      <c r="AH32" s="220">
        <v>20527</v>
      </c>
      <c r="AI32" s="220">
        <v>18653</v>
      </c>
      <c r="AJ32" s="220">
        <v>14280</v>
      </c>
      <c r="AK32" s="220">
        <v>17069</v>
      </c>
      <c r="AL32" s="89"/>
      <c r="AM32" s="31">
        <f>AM15-AM31</f>
        <v>-817</v>
      </c>
      <c r="AN32" s="31">
        <f>AN15-AN31</f>
        <v>0</v>
      </c>
      <c r="AO32" s="381">
        <f>AR32-AS32</f>
        <v>-675</v>
      </c>
      <c r="AP32" s="559" t="e">
        <f>IF(OR((AO32/AS32)&gt;3,(AO32/AS32)&lt;-3),"n.m.",(AO32/AS32))</f>
        <v>#DIV/0!</v>
      </c>
      <c r="AQ32" s="89"/>
      <c r="AR32" s="171">
        <f>AR15-AR31</f>
        <v>-675</v>
      </c>
      <c r="AS32" s="171"/>
      <c r="AT32" s="171"/>
      <c r="AU32" s="202"/>
      <c r="AV32" s="202"/>
      <c r="AW32" s="236"/>
      <c r="AX32" s="236"/>
      <c r="AY32" s="360"/>
      <c r="AZ32" s="360"/>
      <c r="BA32" s="366"/>
      <c r="BB32" s="148"/>
      <c r="BD32" s="210"/>
      <c r="BE32" s="210"/>
      <c r="BF32" s="210"/>
      <c r="BG32" s="210"/>
    </row>
    <row r="33" spans="1:57" s="210" customFormat="1" ht="12.75" customHeight="1" hidden="1" outlineLevel="1" thickTop="1">
      <c r="A33" s="912"/>
      <c r="B33" s="916" t="s">
        <v>441</v>
      </c>
      <c r="C33" s="538"/>
      <c r="D33" s="905"/>
      <c r="E33" s="592"/>
      <c r="F33" s="547"/>
      <c r="G33" s="235"/>
      <c r="H33" s="235"/>
      <c r="I33" s="944">
        <v>4420</v>
      </c>
      <c r="J33" s="851">
        <v>5251</v>
      </c>
      <c r="K33" s="851">
        <v>5647</v>
      </c>
      <c r="L33" s="851">
        <v>6215</v>
      </c>
      <c r="M33" s="852">
        <v>6579</v>
      </c>
      <c r="N33" s="851"/>
      <c r="O33" s="851"/>
      <c r="P33" s="851"/>
      <c r="Q33" s="852"/>
      <c r="R33" s="235"/>
      <c r="S33" s="235"/>
      <c r="T33" s="235"/>
      <c r="U33" s="236"/>
      <c r="V33" s="235"/>
      <c r="W33" s="235"/>
      <c r="X33" s="235"/>
      <c r="Y33" s="236"/>
      <c r="Z33" s="909"/>
      <c r="AA33" s="906"/>
      <c r="AB33" s="906"/>
      <c r="AC33" s="907"/>
      <c r="AD33" s="906"/>
      <c r="AE33" s="234"/>
      <c r="AF33" s="238"/>
      <c r="AG33" s="234"/>
      <c r="AH33" s="234"/>
      <c r="AI33" s="234"/>
      <c r="AJ33" s="234"/>
      <c r="AK33" s="234"/>
      <c r="AL33" s="203"/>
      <c r="AM33" s="610"/>
      <c r="AN33" s="235"/>
      <c r="AO33" s="254"/>
      <c r="AP33" s="539"/>
      <c r="AQ33" s="243"/>
      <c r="AR33" s="302">
        <f>SUM(J33:M33)</f>
        <v>23692</v>
      </c>
      <c r="AS33" s="919"/>
      <c r="AT33" s="918"/>
      <c r="AU33" s="928"/>
      <c r="AV33" s="543"/>
      <c r="AW33" s="907"/>
      <c r="AX33" s="907"/>
      <c r="AY33" s="908"/>
      <c r="AZ33" s="908"/>
      <c r="BA33" s="254"/>
      <c r="BB33" s="563"/>
      <c r="BC33" s="563"/>
      <c r="BD33" s="563"/>
      <c r="BE33" s="563"/>
    </row>
    <row r="34" spans="1:57" s="210" customFormat="1" ht="12.75" customHeight="1" hidden="1" outlineLevel="1">
      <c r="A34" s="912"/>
      <c r="B34" s="916" t="s">
        <v>442</v>
      </c>
      <c r="C34" s="38"/>
      <c r="D34" s="30"/>
      <c r="E34" s="592"/>
      <c r="F34" s="237"/>
      <c r="G34" s="234"/>
      <c r="H34" s="234"/>
      <c r="I34" s="852">
        <v>-223</v>
      </c>
      <c r="J34" s="851">
        <v>0</v>
      </c>
      <c r="K34" s="851">
        <v>0</v>
      </c>
      <c r="L34" s="851">
        <v>0</v>
      </c>
      <c r="M34" s="852">
        <v>0</v>
      </c>
      <c r="N34" s="851"/>
      <c r="O34" s="851"/>
      <c r="P34" s="851"/>
      <c r="Q34" s="852"/>
      <c r="R34" s="234"/>
      <c r="S34" s="234"/>
      <c r="T34" s="234"/>
      <c r="U34" s="238"/>
      <c r="V34" s="234"/>
      <c r="W34" s="234"/>
      <c r="X34" s="234"/>
      <c r="Y34" s="238"/>
      <c r="Z34" s="913"/>
      <c r="AA34" s="542"/>
      <c r="AB34" s="542"/>
      <c r="AC34" s="543"/>
      <c r="AD34" s="542"/>
      <c r="AE34" s="234"/>
      <c r="AF34" s="238"/>
      <c r="AG34" s="234"/>
      <c r="AH34" s="234"/>
      <c r="AI34" s="234"/>
      <c r="AJ34" s="234"/>
      <c r="AK34" s="234"/>
      <c r="AL34" s="203"/>
      <c r="AM34" s="610"/>
      <c r="AN34" s="234"/>
      <c r="AO34" s="254"/>
      <c r="AP34" s="30"/>
      <c r="AQ34" s="243"/>
      <c r="AR34" s="204">
        <f>SUM(J34:M34)</f>
        <v>0</v>
      </c>
      <c r="AS34" s="204"/>
      <c r="AT34" s="204"/>
      <c r="AU34" s="929"/>
      <c r="AV34" s="543"/>
      <c r="AW34" s="543"/>
      <c r="AX34" s="543"/>
      <c r="AY34" s="566"/>
      <c r="AZ34" s="566"/>
      <c r="BA34" s="254"/>
      <c r="BB34" s="563"/>
      <c r="BC34" s="563"/>
      <c r="BD34" s="563"/>
      <c r="BE34" s="563"/>
    </row>
    <row r="35" spans="1:57" s="210" customFormat="1" ht="12.75" customHeight="1" hidden="1" outlineLevel="1">
      <c r="A35" s="912"/>
      <c r="B35" s="916" t="s">
        <v>443</v>
      </c>
      <c r="C35" s="38"/>
      <c r="D35" s="598"/>
      <c r="E35" s="592"/>
      <c r="F35" s="237"/>
      <c r="G35" s="234"/>
      <c r="H35" s="234"/>
      <c r="I35" s="852">
        <v>611</v>
      </c>
      <c r="J35" s="237">
        <v>1376</v>
      </c>
      <c r="K35" s="234">
        <v>1280</v>
      </c>
      <c r="L35" s="234">
        <v>1398</v>
      </c>
      <c r="M35" s="238">
        <v>1138</v>
      </c>
      <c r="N35" s="851"/>
      <c r="O35" s="851"/>
      <c r="P35" s="851"/>
      <c r="Q35" s="852"/>
      <c r="R35" s="234"/>
      <c r="S35" s="234"/>
      <c r="T35" s="234"/>
      <c r="U35" s="238"/>
      <c r="V35" s="234"/>
      <c r="W35" s="234"/>
      <c r="X35" s="234"/>
      <c r="Y35" s="238"/>
      <c r="Z35" s="913"/>
      <c r="AA35" s="542"/>
      <c r="AB35" s="542"/>
      <c r="AC35" s="543"/>
      <c r="AD35" s="542"/>
      <c r="AE35" s="234"/>
      <c r="AF35" s="238"/>
      <c r="AG35" s="234"/>
      <c r="AH35" s="234"/>
      <c r="AI35" s="234"/>
      <c r="AJ35" s="234"/>
      <c r="AK35" s="234"/>
      <c r="AL35" s="203"/>
      <c r="AM35" s="610"/>
      <c r="AN35" s="234"/>
      <c r="AO35" s="254"/>
      <c r="AP35" s="30"/>
      <c r="AQ35" s="243"/>
      <c r="AR35" s="302">
        <f>SUM(J35:M35)</f>
        <v>5192</v>
      </c>
      <c r="AS35" s="201"/>
      <c r="AT35" s="201"/>
      <c r="AU35" s="929"/>
      <c r="AV35" s="543"/>
      <c r="AW35" s="543"/>
      <c r="AX35" s="543"/>
      <c r="AY35" s="566"/>
      <c r="AZ35" s="566"/>
      <c r="BA35" s="254"/>
      <c r="BB35" s="563"/>
      <c r="BC35" s="563"/>
      <c r="BD35" s="563"/>
      <c r="BE35" s="563"/>
    </row>
    <row r="36" spans="1:57" s="210" customFormat="1" ht="12.75" customHeight="1" hidden="1" outlineLevel="1">
      <c r="A36" s="912"/>
      <c r="B36" s="916" t="s">
        <v>444</v>
      </c>
      <c r="C36" s="38"/>
      <c r="D36" s="598"/>
      <c r="E36" s="592"/>
      <c r="F36" s="237"/>
      <c r="G36" s="234"/>
      <c r="H36" s="234"/>
      <c r="I36" s="852">
        <v>0</v>
      </c>
      <c r="J36" s="237">
        <v>1715</v>
      </c>
      <c r="K36" s="234">
        <v>1579</v>
      </c>
      <c r="L36" s="234">
        <v>1609</v>
      </c>
      <c r="M36" s="238">
        <v>1708</v>
      </c>
      <c r="N36" s="851"/>
      <c r="O36" s="851"/>
      <c r="P36" s="851"/>
      <c r="Q36" s="852"/>
      <c r="R36" s="234"/>
      <c r="S36" s="234"/>
      <c r="T36" s="234"/>
      <c r="U36" s="238"/>
      <c r="V36" s="234"/>
      <c r="W36" s="234"/>
      <c r="X36" s="234"/>
      <c r="Y36" s="238"/>
      <c r="Z36" s="913"/>
      <c r="AA36" s="542"/>
      <c r="AB36" s="542"/>
      <c r="AC36" s="543"/>
      <c r="AD36" s="542"/>
      <c r="AE36" s="234"/>
      <c r="AF36" s="238"/>
      <c r="AG36" s="234"/>
      <c r="AH36" s="234"/>
      <c r="AI36" s="234"/>
      <c r="AJ36" s="234"/>
      <c r="AK36" s="234"/>
      <c r="AL36" s="203"/>
      <c r="AM36" s="610"/>
      <c r="AN36" s="234"/>
      <c r="AO36" s="254"/>
      <c r="AP36" s="30"/>
      <c r="AQ36" s="243"/>
      <c r="AR36" s="485">
        <f>SUM(J36:M36)</f>
        <v>6611</v>
      </c>
      <c r="AS36" s="207"/>
      <c r="AT36" s="207"/>
      <c r="AU36" s="930"/>
      <c r="AV36" s="543"/>
      <c r="AW36" s="914"/>
      <c r="AX36" s="914"/>
      <c r="AY36" s="915"/>
      <c r="AZ36" s="915"/>
      <c r="BA36" s="254"/>
      <c r="BB36" s="563"/>
      <c r="BC36" s="563"/>
      <c r="BD36" s="563"/>
      <c r="BE36" s="563"/>
    </row>
    <row r="37" spans="1:59" s="96" customFormat="1" ht="15" customHeight="1" hidden="1" outlineLevel="1">
      <c r="A37" s="537"/>
      <c r="B37" s="546" t="s">
        <v>419</v>
      </c>
      <c r="C37" s="169"/>
      <c r="D37" s="170"/>
      <c r="E37" s="592"/>
      <c r="F37" s="248"/>
      <c r="G37" s="248"/>
      <c r="H37" s="248"/>
      <c r="I37" s="945">
        <f>+I33+I34+I35+I36</f>
        <v>4808</v>
      </c>
      <c r="J37" s="248">
        <v>8342</v>
      </c>
      <c r="K37" s="248">
        <v>8506</v>
      </c>
      <c r="L37" s="248">
        <v>9222</v>
      </c>
      <c r="M37" s="249">
        <v>9425</v>
      </c>
      <c r="N37" s="248"/>
      <c r="O37" s="248"/>
      <c r="P37" s="248"/>
      <c r="Q37" s="249"/>
      <c r="R37" s="248">
        <v>9382</v>
      </c>
      <c r="S37" s="248">
        <v>8444</v>
      </c>
      <c r="T37" s="248">
        <v>9374</v>
      </c>
      <c r="U37" s="249">
        <v>9404</v>
      </c>
      <c r="V37" s="248">
        <v>9225</v>
      </c>
      <c r="W37" s="248">
        <v>9773</v>
      </c>
      <c r="X37" s="248">
        <v>8219</v>
      </c>
      <c r="Y37" s="249">
        <v>8565</v>
      </c>
      <c r="Z37" s="569" t="s">
        <v>214</v>
      </c>
      <c r="AA37" s="569" t="s">
        <v>214</v>
      </c>
      <c r="AB37" s="569" t="s">
        <v>214</v>
      </c>
      <c r="AC37" s="570" t="s">
        <v>214</v>
      </c>
      <c r="AD37" s="571" t="s">
        <v>214</v>
      </c>
      <c r="AE37" s="543" t="s">
        <v>214</v>
      </c>
      <c r="AF37" s="543" t="s">
        <v>214</v>
      </c>
      <c r="AG37" s="542" t="s">
        <v>214</v>
      </c>
      <c r="AH37" s="542" t="s">
        <v>214</v>
      </c>
      <c r="AI37" s="542" t="s">
        <v>214</v>
      </c>
      <c r="AJ37" s="542" t="s">
        <v>214</v>
      </c>
      <c r="AK37" s="542" t="s">
        <v>214</v>
      </c>
      <c r="AL37" s="551"/>
      <c r="AM37" s="381">
        <f>SUM(K37:M37)</f>
        <v>27153</v>
      </c>
      <c r="AN37" s="381">
        <f>SUM(O37:Q37)</f>
        <v>0</v>
      </c>
      <c r="AO37" s="381">
        <f>AR37-AS37</f>
        <v>35495</v>
      </c>
      <c r="AP37" s="170" t="e">
        <f>IF(OR((AO37/AS37)&gt;3,(AO37/AS37)&lt;-3),"n.m.",(AO37/AS37))</f>
        <v>#DIV/0!</v>
      </c>
      <c r="AQ37" s="551"/>
      <c r="AR37" s="202">
        <f>SUM(J37:M37)</f>
        <v>35495</v>
      </c>
      <c r="AS37" s="202"/>
      <c r="AT37" s="202"/>
      <c r="AU37" s="207"/>
      <c r="AV37" s="571"/>
      <c r="AW37" s="570"/>
      <c r="AX37" s="570"/>
      <c r="AY37" s="572"/>
      <c r="AZ37" s="572"/>
      <c r="BA37" s="9"/>
      <c r="BB37" s="148"/>
      <c r="BD37" s="210"/>
      <c r="BE37" s="210"/>
      <c r="BF37" s="210"/>
      <c r="BG37" s="210"/>
    </row>
    <row r="38" spans="1:59" s="96" customFormat="1" ht="15" customHeight="1" collapsed="1" thickTop="1">
      <c r="A38" s="537"/>
      <c r="B38" s="546" t="s">
        <v>451</v>
      </c>
      <c r="C38" s="169"/>
      <c r="D38" s="170"/>
      <c r="E38" s="592"/>
      <c r="F38" s="235"/>
      <c r="G38" s="235"/>
      <c r="H38" s="235"/>
      <c r="I38" s="944"/>
      <c r="J38" s="235"/>
      <c r="K38" s="235"/>
      <c r="L38" s="235"/>
      <c r="M38" s="236"/>
      <c r="N38" s="235"/>
      <c r="O38" s="235"/>
      <c r="P38" s="235"/>
      <c r="Q38" s="236"/>
      <c r="R38" s="235"/>
      <c r="S38" s="235"/>
      <c r="T38" s="235"/>
      <c r="U38" s="236"/>
      <c r="V38" s="235"/>
      <c r="W38" s="235"/>
      <c r="X38" s="235"/>
      <c r="Y38" s="236"/>
      <c r="Z38" s="906"/>
      <c r="AA38" s="906"/>
      <c r="AB38" s="906"/>
      <c r="AC38" s="907"/>
      <c r="AD38" s="932"/>
      <c r="AE38" s="543"/>
      <c r="AF38" s="543"/>
      <c r="AG38" s="542"/>
      <c r="AH38" s="542"/>
      <c r="AI38" s="542"/>
      <c r="AJ38" s="542"/>
      <c r="AK38" s="542"/>
      <c r="AL38" s="551"/>
      <c r="AM38" s="736"/>
      <c r="AN38" s="736"/>
      <c r="AO38" s="736"/>
      <c r="AP38" s="539"/>
      <c r="AQ38" s="551"/>
      <c r="AR38" s="238">
        <f>+AR37</f>
        <v>35495</v>
      </c>
      <c r="AS38" s="238"/>
      <c r="AT38" s="238"/>
      <c r="AU38" s="238"/>
      <c r="AV38" s="543"/>
      <c r="AW38" s="907"/>
      <c r="AX38" s="907"/>
      <c r="AY38" s="908"/>
      <c r="AZ38" s="908"/>
      <c r="BA38" s="9"/>
      <c r="BB38" s="148"/>
      <c r="BD38" s="210"/>
      <c r="BE38" s="210"/>
      <c r="BF38" s="210"/>
      <c r="BG38" s="210"/>
    </row>
    <row r="39" spans="1:59" s="96" customFormat="1" ht="24.75" customHeight="1" thickBot="1">
      <c r="A39" s="143" t="s">
        <v>82</v>
      </c>
      <c r="B39" s="142"/>
      <c r="C39" s="472"/>
      <c r="D39" s="182"/>
      <c r="E39" s="592"/>
      <c r="F39" s="252">
        <f aca="true" t="shared" si="9" ref="F39:L39">+F32-F37</f>
        <v>0</v>
      </c>
      <c r="G39" s="252">
        <f t="shared" si="9"/>
        <v>0</v>
      </c>
      <c r="H39" s="252">
        <f t="shared" si="9"/>
        <v>0</v>
      </c>
      <c r="I39" s="253">
        <f t="shared" si="9"/>
        <v>-5384</v>
      </c>
      <c r="J39" s="252">
        <f t="shared" si="9"/>
        <v>-8200</v>
      </c>
      <c r="K39" s="252">
        <f t="shared" si="9"/>
        <v>-9500</v>
      </c>
      <c r="L39" s="252">
        <f t="shared" si="9"/>
        <v>-8922</v>
      </c>
      <c r="M39" s="253">
        <f>M32-M37</f>
        <v>-9548</v>
      </c>
      <c r="N39" s="252"/>
      <c r="O39" s="252"/>
      <c r="P39" s="252"/>
      <c r="Q39" s="253"/>
      <c r="R39" s="252">
        <f>R32-R37</f>
        <v>9122</v>
      </c>
      <c r="S39" s="252">
        <f>S32-S37</f>
        <v>8143</v>
      </c>
      <c r="T39" s="252">
        <f>T32-T37</f>
        <v>-3436</v>
      </c>
      <c r="U39" s="253">
        <f>U32-U37</f>
        <v>-1697</v>
      </c>
      <c r="V39" s="252">
        <v>-1070</v>
      </c>
      <c r="W39" s="252">
        <v>-87</v>
      </c>
      <c r="X39" s="252">
        <v>-3294</v>
      </c>
      <c r="Y39" s="253">
        <v>-3548</v>
      </c>
      <c r="Z39" s="544" t="s">
        <v>214</v>
      </c>
      <c r="AA39" s="544" t="s">
        <v>214</v>
      </c>
      <c r="AB39" s="544" t="s">
        <v>214</v>
      </c>
      <c r="AC39" s="545" t="s">
        <v>214</v>
      </c>
      <c r="AD39" s="567" t="s">
        <v>214</v>
      </c>
      <c r="AE39" s="543"/>
      <c r="AF39" s="543"/>
      <c r="AG39" s="542"/>
      <c r="AH39" s="542"/>
      <c r="AI39" s="542"/>
      <c r="AJ39" s="542"/>
      <c r="AK39" s="542"/>
      <c r="AL39" s="551"/>
      <c r="AM39" s="384">
        <f>AM32-AM37</f>
        <v>-27970</v>
      </c>
      <c r="AN39" s="384">
        <f>AN32-AN37</f>
        <v>0</v>
      </c>
      <c r="AO39" s="384">
        <f>AR39-AS39</f>
        <v>-36170</v>
      </c>
      <c r="AP39" s="182" t="e">
        <f>IF(OR((AO39/AS39)&gt;3,(AO39/AS39)&lt;-3),"n.m.",(AO39/AS39))</f>
        <v>#DIV/0!</v>
      </c>
      <c r="AQ39" s="551"/>
      <c r="AR39" s="253">
        <f>AR32-AR37</f>
        <v>-36170</v>
      </c>
      <c r="AS39" s="253"/>
      <c r="AT39" s="253"/>
      <c r="AU39" s="209"/>
      <c r="AV39" s="567"/>
      <c r="AW39" s="545"/>
      <c r="AX39" s="545"/>
      <c r="AY39" s="568"/>
      <c r="AZ39" s="568"/>
      <c r="BA39" s="9"/>
      <c r="BB39" s="148"/>
      <c r="BD39" s="210"/>
      <c r="BE39" s="210"/>
      <c r="BF39" s="210"/>
      <c r="BG39" s="210"/>
    </row>
    <row r="40" spans="1:59" ht="12.75" customHeight="1" thickTop="1">
      <c r="A40" s="144"/>
      <c r="B40" s="144"/>
      <c r="C40" s="31"/>
      <c r="D40" s="41"/>
      <c r="E40" s="41"/>
      <c r="F40" s="41"/>
      <c r="G40" s="41"/>
      <c r="H40" s="41"/>
      <c r="I40" s="148"/>
      <c r="J40" s="41"/>
      <c r="K40" s="41"/>
      <c r="L40" s="41"/>
      <c r="M40" s="148"/>
      <c r="N40" s="41"/>
      <c r="O40" s="41"/>
      <c r="P40" s="41"/>
      <c r="Q40" s="148"/>
      <c r="R40" s="41"/>
      <c r="S40" s="41"/>
      <c r="T40" s="41"/>
      <c r="U40" s="148"/>
      <c r="V40" s="41"/>
      <c r="W40" s="41"/>
      <c r="X40" s="41"/>
      <c r="Y40" s="148"/>
      <c r="Z40" s="41"/>
      <c r="AA40" s="41"/>
      <c r="AB40" s="41"/>
      <c r="AC40" s="148"/>
      <c r="AD40" s="83"/>
      <c r="AE40" s="83"/>
      <c r="AF40" s="83"/>
      <c r="AG40" s="212"/>
      <c r="AH40" s="212"/>
      <c r="AI40" s="212"/>
      <c r="AJ40" s="212"/>
      <c r="AK40" s="212"/>
      <c r="AL40" s="148"/>
      <c r="AM40" s="148"/>
      <c r="AN40" s="148"/>
      <c r="AO40" s="31"/>
      <c r="AP40" s="41"/>
      <c r="AQ40" s="148"/>
      <c r="AR40" s="148"/>
      <c r="AS40" s="148"/>
      <c r="AT40" s="148"/>
      <c r="AU40" s="148"/>
      <c r="AV40" s="148"/>
      <c r="AW40" s="31"/>
      <c r="AX40" s="31"/>
      <c r="AY40" s="9"/>
      <c r="AZ40" s="9"/>
      <c r="BA40" s="9"/>
      <c r="BB40" s="148"/>
      <c r="BD40" s="3"/>
      <c r="BG40" s="3"/>
    </row>
    <row r="41" spans="1:59" ht="13.5" customHeight="1">
      <c r="A41" s="146"/>
      <c r="B41" s="144"/>
      <c r="C41" s="228"/>
      <c r="D41" s="41"/>
      <c r="E41" s="41"/>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148"/>
      <c r="AM41" s="35"/>
      <c r="AN41" s="35"/>
      <c r="AO41" s="228"/>
      <c r="AP41" s="41"/>
      <c r="AQ41" s="148"/>
      <c r="AR41" s="35"/>
      <c r="AS41" s="35"/>
      <c r="AT41" s="35"/>
      <c r="AU41" s="35"/>
      <c r="AV41" s="35"/>
      <c r="AW41" s="35"/>
      <c r="AX41" s="35"/>
      <c r="AY41" s="367"/>
      <c r="AZ41" s="367"/>
      <c r="BA41" s="367"/>
      <c r="BB41" s="148"/>
      <c r="BD41" s="3"/>
      <c r="BG41" s="3"/>
    </row>
    <row r="42" spans="1:59" ht="13.5" customHeight="1" hidden="1">
      <c r="A42" s="7"/>
      <c r="B42" s="144"/>
      <c r="C42" s="228"/>
      <c r="D42" s="41"/>
      <c r="E42" s="41"/>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148"/>
      <c r="AM42" s="35"/>
      <c r="AN42" s="35"/>
      <c r="AO42" s="228"/>
      <c r="AP42" s="41"/>
      <c r="AQ42" s="148"/>
      <c r="AR42" s="35"/>
      <c r="AS42" s="35"/>
      <c r="AT42" s="35"/>
      <c r="AU42" s="35"/>
      <c r="AV42" s="35"/>
      <c r="AW42" s="35"/>
      <c r="AX42" s="35"/>
      <c r="AY42" s="367"/>
      <c r="AZ42" s="367"/>
      <c r="BA42" s="367"/>
      <c r="BB42" s="148"/>
      <c r="BD42" s="3"/>
      <c r="BG42" s="3"/>
    </row>
    <row r="43" spans="1:59" ht="13.5" customHeight="1" hidden="1">
      <c r="A43" s="7"/>
      <c r="B43" s="144"/>
      <c r="C43" s="228"/>
      <c r="D43" s="41"/>
      <c r="E43" s="41"/>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148"/>
      <c r="AM43" s="35"/>
      <c r="AN43" s="35"/>
      <c r="AO43" s="228"/>
      <c r="AP43" s="41"/>
      <c r="AQ43" s="148"/>
      <c r="AR43" s="35"/>
      <c r="AS43" s="35"/>
      <c r="AT43" s="35"/>
      <c r="AU43" s="35"/>
      <c r="AV43" s="35"/>
      <c r="AW43" s="35"/>
      <c r="AX43" s="35"/>
      <c r="AY43" s="367"/>
      <c r="AZ43" s="367"/>
      <c r="BA43" s="367"/>
      <c r="BB43" s="148"/>
      <c r="BD43" s="3"/>
      <c r="BG43" s="3"/>
    </row>
    <row r="44" spans="1:59" ht="12.75" customHeight="1" hidden="1">
      <c r="A44" s="145"/>
      <c r="B44" s="144"/>
      <c r="C44" s="228"/>
      <c r="D44" s="41"/>
      <c r="E44" s="41"/>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148"/>
      <c r="AM44" s="35"/>
      <c r="AN44" s="35"/>
      <c r="AO44" s="228"/>
      <c r="AP44" s="41"/>
      <c r="AQ44" s="148"/>
      <c r="AR44" s="35"/>
      <c r="AS44" s="35"/>
      <c r="AT44" s="35"/>
      <c r="AU44" s="35"/>
      <c r="AV44" s="35"/>
      <c r="AW44" s="35"/>
      <c r="AX44" s="35"/>
      <c r="AY44" s="358"/>
      <c r="AZ44" s="358"/>
      <c r="BA44" s="358"/>
      <c r="BB44" s="148"/>
      <c r="BD44" s="3"/>
      <c r="BG44" s="3"/>
    </row>
    <row r="45" spans="1:59" ht="13.5" customHeight="1" hidden="1">
      <c r="A45" s="145"/>
      <c r="B45" s="144"/>
      <c r="C45" s="228"/>
      <c r="D45" s="41"/>
      <c r="E45" s="41"/>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148"/>
      <c r="AM45" s="35"/>
      <c r="AN45" s="35"/>
      <c r="AO45" s="228"/>
      <c r="AP45" s="41"/>
      <c r="AQ45" s="148"/>
      <c r="AR45" s="35"/>
      <c r="AS45" s="35"/>
      <c r="AT45" s="35"/>
      <c r="AU45" s="35"/>
      <c r="AV45" s="35"/>
      <c r="AW45" s="35"/>
      <c r="AX45" s="35"/>
      <c r="AY45" s="358"/>
      <c r="AZ45" s="358"/>
      <c r="BA45" s="358"/>
      <c r="BB45" s="148"/>
      <c r="BD45" s="3"/>
      <c r="BG45" s="3"/>
    </row>
    <row r="46" spans="1:59" ht="12.75" customHeight="1" hidden="1">
      <c r="A46" s="144"/>
      <c r="B46" s="144"/>
      <c r="C46" s="228"/>
      <c r="D46" s="41"/>
      <c r="E46" s="41"/>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148"/>
      <c r="AM46" s="35"/>
      <c r="AN46" s="35"/>
      <c r="AO46" s="228"/>
      <c r="AP46" s="41"/>
      <c r="AQ46" s="148"/>
      <c r="AR46" s="35"/>
      <c r="AS46" s="35"/>
      <c r="AT46" s="35"/>
      <c r="AU46" s="35"/>
      <c r="AV46" s="35"/>
      <c r="AW46" s="35"/>
      <c r="AX46" s="35"/>
      <c r="AY46" s="358"/>
      <c r="AZ46" s="358"/>
      <c r="BA46" s="358"/>
      <c r="BB46" s="148"/>
      <c r="BD46" s="3"/>
      <c r="BG46" s="3"/>
    </row>
    <row r="47" spans="1:59" ht="12.75" customHeight="1" hidden="1">
      <c r="A47" s="144"/>
      <c r="B47" s="144"/>
      <c r="C47" s="228"/>
      <c r="D47" s="41"/>
      <c r="E47" s="41"/>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148"/>
      <c r="AM47" s="35"/>
      <c r="AN47" s="35"/>
      <c r="AO47" s="228"/>
      <c r="AP47" s="41"/>
      <c r="AQ47" s="148"/>
      <c r="AR47" s="35"/>
      <c r="AS47" s="35"/>
      <c r="AT47" s="35"/>
      <c r="AU47" s="35"/>
      <c r="AV47" s="35"/>
      <c r="AW47" s="35"/>
      <c r="AX47" s="35"/>
      <c r="AY47" s="358"/>
      <c r="AZ47" s="358"/>
      <c r="BA47" s="358"/>
      <c r="BB47" s="148"/>
      <c r="BD47" s="3"/>
      <c r="BG47" s="3"/>
    </row>
    <row r="48" spans="1:59" ht="12.75" customHeight="1" hidden="1">
      <c r="A48" s="145"/>
      <c r="B48" s="144"/>
      <c r="C48" s="228"/>
      <c r="D48" s="41"/>
      <c r="E48" s="41"/>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148"/>
      <c r="AM48" s="35"/>
      <c r="AN48" s="35"/>
      <c r="AO48" s="228"/>
      <c r="AP48" s="41"/>
      <c r="AQ48" s="148"/>
      <c r="AR48" s="35"/>
      <c r="AS48" s="35"/>
      <c r="AT48" s="35"/>
      <c r="AU48" s="35"/>
      <c r="AV48" s="35"/>
      <c r="AW48" s="35"/>
      <c r="AX48" s="35"/>
      <c r="AY48" s="358"/>
      <c r="AZ48" s="358"/>
      <c r="BA48" s="358"/>
      <c r="BB48" s="148"/>
      <c r="BD48" s="3"/>
      <c r="BG48" s="3"/>
    </row>
    <row r="49" spans="1:59" ht="12.75" customHeight="1" hidden="1">
      <c r="A49" s="145"/>
      <c r="B49" s="144"/>
      <c r="C49" s="228"/>
      <c r="D49" s="41"/>
      <c r="E49" s="41"/>
      <c r="F49" s="35"/>
      <c r="G49" s="35"/>
      <c r="H49" s="35"/>
      <c r="I49" s="35"/>
      <c r="J49" s="35"/>
      <c r="K49" s="35"/>
      <c r="L49" s="35"/>
      <c r="M49" s="35"/>
      <c r="N49" s="35"/>
      <c r="O49" s="35"/>
      <c r="P49" s="35"/>
      <c r="Q49" s="35"/>
      <c r="R49" s="35"/>
      <c r="S49" s="35"/>
      <c r="T49" s="35"/>
      <c r="U49" s="35"/>
      <c r="V49" s="35"/>
      <c r="W49" s="35"/>
      <c r="X49" s="35"/>
      <c r="Y49" s="41"/>
      <c r="Z49" s="41"/>
      <c r="AA49" s="41"/>
      <c r="AB49" s="41"/>
      <c r="AC49" s="41"/>
      <c r="AD49" s="41"/>
      <c r="AE49" s="41"/>
      <c r="AF49" s="41"/>
      <c r="AG49" s="41"/>
      <c r="AH49" s="41"/>
      <c r="AI49" s="41"/>
      <c r="AJ49" s="41"/>
      <c r="AK49" s="41"/>
      <c r="AL49" s="243"/>
      <c r="AM49" s="35"/>
      <c r="AN49" s="35"/>
      <c r="AO49" s="228"/>
      <c r="AP49" s="41"/>
      <c r="AQ49" s="243"/>
      <c r="AR49" s="35"/>
      <c r="AS49" s="35"/>
      <c r="AT49" s="35"/>
      <c r="AU49" s="41"/>
      <c r="AV49" s="41"/>
      <c r="AW49" s="41"/>
      <c r="AX49" s="41"/>
      <c r="AY49" s="41"/>
      <c r="AZ49" s="573"/>
      <c r="BA49" s="358"/>
      <c r="BB49" s="148"/>
      <c r="BD49" s="3"/>
      <c r="BG49" s="3"/>
    </row>
    <row r="50" spans="1:59" ht="12.75" customHeight="1" hidden="1">
      <c r="A50" s="144"/>
      <c r="B50" s="144"/>
      <c r="C50" s="3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148"/>
      <c r="AD50" s="83"/>
      <c r="AE50" s="83"/>
      <c r="AF50" s="83"/>
      <c r="AG50" s="83"/>
      <c r="AH50" s="186"/>
      <c r="AI50" s="186"/>
      <c r="AJ50" s="186"/>
      <c r="AK50" s="186"/>
      <c r="AL50" s="148"/>
      <c r="AM50" s="148"/>
      <c r="AN50" s="148"/>
      <c r="AO50" s="31"/>
      <c r="AP50" s="41"/>
      <c r="AQ50" s="148"/>
      <c r="AR50" s="35"/>
      <c r="AS50" s="35"/>
      <c r="AT50" s="35"/>
      <c r="AU50" s="35"/>
      <c r="AV50" s="148"/>
      <c r="AW50" s="31"/>
      <c r="AX50" s="31"/>
      <c r="AY50" s="359"/>
      <c r="AZ50" s="359"/>
      <c r="BA50" s="359"/>
      <c r="BB50" s="148"/>
      <c r="BD50" s="3"/>
      <c r="BG50" s="3"/>
    </row>
    <row r="51" spans="1:59" ht="13.5" customHeight="1" hidden="1">
      <c r="A51" s="7"/>
      <c r="B51" s="144"/>
      <c r="C51" s="31"/>
      <c r="D51" s="41"/>
      <c r="E51" s="4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148"/>
      <c r="AM51" s="213"/>
      <c r="AN51" s="213"/>
      <c r="AO51" s="31"/>
      <c r="AP51" s="41"/>
      <c r="AQ51" s="148"/>
      <c r="AR51" s="31"/>
      <c r="AS51" s="31"/>
      <c r="AT51" s="31"/>
      <c r="AU51" s="31"/>
      <c r="AV51" s="31"/>
      <c r="AW51" s="31"/>
      <c r="AX51" s="31"/>
      <c r="AY51" s="359"/>
      <c r="AZ51" s="359"/>
      <c r="BA51" s="359"/>
      <c r="BB51" s="148"/>
      <c r="BD51" s="3"/>
      <c r="BG51" s="3"/>
    </row>
    <row r="52" spans="1:59" ht="13.5" customHeight="1" hidden="1">
      <c r="A52" s="779"/>
      <c r="B52" s="146"/>
      <c r="C52" s="31"/>
      <c r="D52" s="41"/>
      <c r="E52" s="4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148"/>
      <c r="AM52" s="213"/>
      <c r="AN52" s="213"/>
      <c r="AO52" s="31"/>
      <c r="AP52" s="41"/>
      <c r="AQ52" s="148"/>
      <c r="AR52" s="31"/>
      <c r="AS52" s="31"/>
      <c r="AT52" s="31"/>
      <c r="AU52" s="31"/>
      <c r="AV52" s="31"/>
      <c r="AW52" s="31"/>
      <c r="AX52" s="31"/>
      <c r="AY52" s="779"/>
      <c r="AZ52" s="779"/>
      <c r="BA52" s="779"/>
      <c r="BB52" s="148"/>
      <c r="BD52" s="3"/>
      <c r="BG52" s="3"/>
    </row>
    <row r="53" spans="1:59" ht="13.5" customHeight="1" hidden="1">
      <c r="A53" s="779"/>
      <c r="B53" s="146"/>
      <c r="C53" s="31"/>
      <c r="D53" s="41"/>
      <c r="E53" s="839"/>
      <c r="F53" s="31"/>
      <c r="G53" s="31"/>
      <c r="H53" s="31"/>
      <c r="I53" s="31"/>
      <c r="J53" s="31"/>
      <c r="K53" s="31"/>
      <c r="L53" s="31"/>
      <c r="M53" s="31"/>
      <c r="N53" s="254"/>
      <c r="O53" s="254"/>
      <c r="P53" s="254"/>
      <c r="Q53" s="254"/>
      <c r="R53" s="254"/>
      <c r="S53" s="254"/>
      <c r="T53" s="254"/>
      <c r="U53" s="254"/>
      <c r="V53" s="31"/>
      <c r="W53" s="31"/>
      <c r="X53" s="31"/>
      <c r="Y53" s="31"/>
      <c r="Z53" s="31"/>
      <c r="AA53" s="31"/>
      <c r="AB53" s="31"/>
      <c r="AC53" s="31"/>
      <c r="AD53" s="31"/>
      <c r="AE53" s="31"/>
      <c r="AF53" s="31"/>
      <c r="AG53" s="31"/>
      <c r="AH53" s="31"/>
      <c r="AI53" s="31"/>
      <c r="AJ53" s="31"/>
      <c r="AK53" s="31"/>
      <c r="AL53" s="840"/>
      <c r="AM53" s="213"/>
      <c r="AN53" s="213"/>
      <c r="AO53" s="31"/>
      <c r="AP53" s="254"/>
      <c r="AQ53" s="840"/>
      <c r="AR53" s="31"/>
      <c r="AS53" s="254"/>
      <c r="AT53" s="254"/>
      <c r="AU53" s="254"/>
      <c r="AV53" s="254"/>
      <c r="AW53" s="254"/>
      <c r="AX53" s="31"/>
      <c r="AY53" s="144"/>
      <c r="AZ53" s="144"/>
      <c r="BA53" s="144"/>
      <c r="BB53" s="148"/>
      <c r="BD53" s="3"/>
      <c r="BG53" s="3"/>
    </row>
    <row r="54" spans="1:59" ht="12.75" customHeight="1" hidden="1">
      <c r="A54" s="779"/>
      <c r="B54" s="146"/>
      <c r="C54" s="31"/>
      <c r="D54" s="41"/>
      <c r="E54" s="4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148"/>
      <c r="AM54" s="213"/>
      <c r="AN54" s="213"/>
      <c r="AO54" s="31"/>
      <c r="AP54" s="41"/>
      <c r="AQ54" s="148"/>
      <c r="AR54" s="31"/>
      <c r="AS54" s="31"/>
      <c r="AT54" s="31"/>
      <c r="AU54" s="31"/>
      <c r="AV54" s="31"/>
      <c r="AW54" s="31"/>
      <c r="AX54" s="31"/>
      <c r="AY54" s="144"/>
      <c r="AZ54" s="144"/>
      <c r="BA54" s="144"/>
      <c r="BB54" s="148"/>
      <c r="BD54" s="3"/>
      <c r="BG54" s="3"/>
    </row>
    <row r="55" spans="1:59" ht="12.75" customHeight="1" hidden="1">
      <c r="A55" s="779"/>
      <c r="B55" s="146"/>
      <c r="C55" s="31"/>
      <c r="D55" s="41"/>
      <c r="E55" s="41"/>
      <c r="F55" s="31"/>
      <c r="G55" s="31"/>
      <c r="H55" s="31"/>
      <c r="I55" s="31"/>
      <c r="J55" s="31"/>
      <c r="K55" s="31"/>
      <c r="L55" s="31"/>
      <c r="M55" s="31"/>
      <c r="N55" s="41"/>
      <c r="O55" s="41"/>
      <c r="P55" s="41"/>
      <c r="Q55" s="41"/>
      <c r="R55" s="41"/>
      <c r="S55" s="41"/>
      <c r="T55" s="41"/>
      <c r="U55" s="41"/>
      <c r="V55" s="31"/>
      <c r="W55" s="31"/>
      <c r="X55" s="31"/>
      <c r="Y55" s="31"/>
      <c r="Z55" s="31"/>
      <c r="AA55" s="31"/>
      <c r="AB55" s="31"/>
      <c r="AC55" s="31"/>
      <c r="AD55" s="31"/>
      <c r="AE55" s="31"/>
      <c r="AF55" s="31"/>
      <c r="AG55" s="31"/>
      <c r="AH55" s="31"/>
      <c r="AI55" s="31"/>
      <c r="AJ55" s="31"/>
      <c r="AK55" s="31"/>
      <c r="AL55" s="148"/>
      <c r="AM55" s="148"/>
      <c r="AN55" s="148"/>
      <c r="AO55" s="31"/>
      <c r="AP55" s="41"/>
      <c r="AQ55" s="148"/>
      <c r="AR55" s="41"/>
      <c r="AS55" s="41"/>
      <c r="AT55" s="41"/>
      <c r="AU55" s="41"/>
      <c r="AV55" s="41"/>
      <c r="AW55" s="41"/>
      <c r="AX55" s="31"/>
      <c r="AY55" s="144"/>
      <c r="AZ55" s="144"/>
      <c r="BA55" s="144"/>
      <c r="BB55" s="148"/>
      <c r="BD55" s="3"/>
      <c r="BG55" s="3"/>
    </row>
    <row r="56" spans="1:59" ht="12.75" customHeight="1" hidden="1">
      <c r="A56" s="145"/>
      <c r="B56" s="146"/>
      <c r="C56" s="31"/>
      <c r="D56" s="41"/>
      <c r="E56" s="4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148"/>
      <c r="AM56" s="213"/>
      <c r="AN56" s="213"/>
      <c r="AO56" s="31"/>
      <c r="AP56" s="41"/>
      <c r="AQ56" s="148"/>
      <c r="AR56" s="31"/>
      <c r="AS56" s="31"/>
      <c r="AT56" s="31"/>
      <c r="AU56" s="31"/>
      <c r="AV56" s="31"/>
      <c r="AW56" s="31"/>
      <c r="AX56" s="31"/>
      <c r="AY56" s="779"/>
      <c r="AZ56" s="779"/>
      <c r="BA56" s="779"/>
      <c r="BB56" s="148"/>
      <c r="BD56" s="3"/>
      <c r="BG56" s="3"/>
    </row>
    <row r="57" spans="1:59" ht="13.5" customHeight="1" hidden="1">
      <c r="A57" s="227"/>
      <c r="B57" s="145"/>
      <c r="C57" s="31"/>
      <c r="D57" s="41"/>
      <c r="E57" s="4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148"/>
      <c r="AM57" s="213"/>
      <c r="AN57" s="213"/>
      <c r="AO57" s="31"/>
      <c r="AP57" s="41"/>
      <c r="AQ57" s="148"/>
      <c r="AR57" s="31"/>
      <c r="AS57" s="31"/>
      <c r="AT57" s="31"/>
      <c r="AU57" s="31"/>
      <c r="AV57" s="31"/>
      <c r="AW57" s="31"/>
      <c r="AX57" s="31"/>
      <c r="AY57" s="779"/>
      <c r="AZ57" s="779"/>
      <c r="BA57" s="779"/>
      <c r="BB57" s="148"/>
      <c r="BD57" s="3"/>
      <c r="BG57" s="3"/>
    </row>
    <row r="58" spans="1:59" ht="12.75" customHeight="1" hidden="1">
      <c r="A58" s="227"/>
      <c r="B58" s="145"/>
      <c r="C58" s="31"/>
      <c r="D58" s="41"/>
      <c r="E58" s="41"/>
      <c r="F58" s="31"/>
      <c r="G58" s="31"/>
      <c r="H58" s="31"/>
      <c r="I58" s="31"/>
      <c r="J58" s="31"/>
      <c r="K58" s="31"/>
      <c r="L58" s="31"/>
      <c r="M58" s="31"/>
      <c r="N58" s="254"/>
      <c r="O58" s="254"/>
      <c r="P58" s="254"/>
      <c r="Q58" s="254"/>
      <c r="R58" s="254"/>
      <c r="S58" s="254"/>
      <c r="T58" s="254"/>
      <c r="U58" s="254"/>
      <c r="V58" s="31"/>
      <c r="W58" s="31"/>
      <c r="X58" s="31"/>
      <c r="Y58" s="31"/>
      <c r="Z58" s="31"/>
      <c r="AA58" s="31"/>
      <c r="AB58" s="31"/>
      <c r="AC58" s="31"/>
      <c r="AD58" s="31"/>
      <c r="AE58" s="31"/>
      <c r="AF58" s="31"/>
      <c r="AG58" s="31"/>
      <c r="AH58" s="31"/>
      <c r="AI58" s="31"/>
      <c r="AJ58" s="31"/>
      <c r="AK58" s="31"/>
      <c r="AL58" s="840"/>
      <c r="AM58" s="213"/>
      <c r="AN58" s="213"/>
      <c r="AO58" s="31"/>
      <c r="AP58" s="41"/>
      <c r="AQ58" s="840"/>
      <c r="AR58" s="31"/>
      <c r="AS58" s="254"/>
      <c r="AT58" s="254"/>
      <c r="AU58" s="254"/>
      <c r="AV58" s="254"/>
      <c r="AW58" s="254"/>
      <c r="AX58" s="31"/>
      <c r="AY58" s="779"/>
      <c r="AZ58" s="779"/>
      <c r="BA58" s="779"/>
      <c r="BB58" s="148"/>
      <c r="BD58" s="3"/>
      <c r="BG58" s="3"/>
    </row>
    <row r="59" spans="1:59" ht="12.75" customHeight="1">
      <c r="A59" s="7"/>
      <c r="B59" s="7"/>
      <c r="C59" s="148"/>
      <c r="D59" s="148"/>
      <c r="E59" s="148"/>
      <c r="F59" s="148"/>
      <c r="G59" s="148"/>
      <c r="H59" s="148"/>
      <c r="I59" s="7"/>
      <c r="J59" s="148"/>
      <c r="K59" s="148"/>
      <c r="L59" s="148"/>
      <c r="M59" s="7"/>
      <c r="N59" s="148"/>
      <c r="O59" s="148"/>
      <c r="P59" s="148"/>
      <c r="Q59" s="7"/>
      <c r="R59" s="148"/>
      <c r="S59" s="148"/>
      <c r="T59" s="148"/>
      <c r="U59" s="7"/>
      <c r="V59" s="148"/>
      <c r="W59" s="148"/>
      <c r="X59" s="148"/>
      <c r="Y59" s="7"/>
      <c r="Z59" s="148"/>
      <c r="AA59" s="148"/>
      <c r="AB59" s="148"/>
      <c r="AC59" s="7"/>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4"/>
      <c r="AZ59" s="83"/>
      <c r="BA59" s="83"/>
      <c r="BB59" s="148"/>
      <c r="BD59" s="3"/>
      <c r="BG59" s="3"/>
    </row>
    <row r="60" spans="1:59" ht="18" customHeight="1">
      <c r="A60" s="12" t="s">
        <v>324</v>
      </c>
      <c r="B60" s="7"/>
      <c r="C60" s="83"/>
      <c r="D60" s="83"/>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83"/>
      <c r="AG60" s="83"/>
      <c r="AH60" s="83"/>
      <c r="AI60" s="83"/>
      <c r="AJ60" s="83"/>
      <c r="AK60" s="83"/>
      <c r="AL60" s="83"/>
      <c r="AM60" s="83"/>
      <c r="AN60" s="83"/>
      <c r="AO60" s="148"/>
      <c r="AP60" s="148"/>
      <c r="AQ60" s="83"/>
      <c r="AR60" s="83"/>
      <c r="AS60" s="83"/>
      <c r="AT60" s="83"/>
      <c r="AU60" s="83"/>
      <c r="AV60" s="83"/>
      <c r="AW60" s="83"/>
      <c r="AX60" s="83"/>
      <c r="AY60" s="144"/>
      <c r="AZ60" s="83"/>
      <c r="BA60" s="83"/>
      <c r="BB60" s="148"/>
      <c r="BD60" s="3"/>
      <c r="BG60" s="3"/>
    </row>
    <row r="61" spans="1:59" ht="12.75" customHeight="1">
      <c r="A61" s="193"/>
      <c r="B61" s="7"/>
      <c r="C61" s="83"/>
      <c r="D61" s="83"/>
      <c r="E61" s="148"/>
      <c r="F61" s="468"/>
      <c r="G61" s="468"/>
      <c r="H61" s="468"/>
      <c r="I61" s="148"/>
      <c r="J61" s="468"/>
      <c r="K61" s="468"/>
      <c r="L61" s="468"/>
      <c r="M61" s="148"/>
      <c r="N61" s="468"/>
      <c r="O61" s="148"/>
      <c r="P61" s="468"/>
      <c r="Q61" s="148"/>
      <c r="R61" s="468"/>
      <c r="S61" s="148"/>
      <c r="T61" s="468"/>
      <c r="U61" s="148"/>
      <c r="V61" s="468"/>
      <c r="W61" s="148"/>
      <c r="X61" s="468"/>
      <c r="Y61" s="148"/>
      <c r="Z61" s="468"/>
      <c r="AA61" s="148"/>
      <c r="AB61" s="148"/>
      <c r="AC61" s="148"/>
      <c r="AD61" s="148"/>
      <c r="AE61" s="148"/>
      <c r="AF61" s="83"/>
      <c r="AG61" s="83"/>
      <c r="AH61" s="83"/>
      <c r="AI61" s="83"/>
      <c r="AJ61" s="83"/>
      <c r="AK61" s="83"/>
      <c r="AL61" s="83"/>
      <c r="AM61" s="83"/>
      <c r="AN61" s="83"/>
      <c r="AO61" s="148"/>
      <c r="AP61" s="148"/>
      <c r="AQ61" s="83"/>
      <c r="AR61" s="83"/>
      <c r="AS61" s="83"/>
      <c r="AT61" s="83"/>
      <c r="AU61" s="83"/>
      <c r="AV61" s="83"/>
      <c r="AW61" s="83"/>
      <c r="AX61" s="83"/>
      <c r="AY61" s="357"/>
      <c r="AZ61" s="357"/>
      <c r="BA61" s="357"/>
      <c r="BB61" s="148"/>
      <c r="BD61" s="3"/>
      <c r="BG61" s="3"/>
    </row>
    <row r="62" spans="1:59" ht="12.75" customHeight="1">
      <c r="A62" s="6"/>
      <c r="B62" s="7"/>
      <c r="C62" s="1437"/>
      <c r="D62" s="1438"/>
      <c r="E62" s="259"/>
      <c r="F62" s="477"/>
      <c r="G62" s="477"/>
      <c r="H62" s="477"/>
      <c r="I62" s="19"/>
      <c r="J62" s="477"/>
      <c r="K62" s="477"/>
      <c r="L62" s="477"/>
      <c r="M62" s="19"/>
      <c r="N62" s="17"/>
      <c r="O62" s="18"/>
      <c r="P62" s="477"/>
      <c r="Q62" s="19"/>
      <c r="R62" s="17"/>
      <c r="S62" s="18"/>
      <c r="T62" s="477"/>
      <c r="U62" s="19"/>
      <c r="W62" s="18"/>
      <c r="X62" s="2"/>
      <c r="Y62" s="19"/>
      <c r="Z62" s="18"/>
      <c r="AB62" s="477"/>
      <c r="AC62" s="19"/>
      <c r="AD62" s="18"/>
      <c r="AE62" s="18"/>
      <c r="AF62" s="18"/>
      <c r="AG62" s="18"/>
      <c r="AH62" s="22"/>
      <c r="AI62" s="19"/>
      <c r="AJ62" s="19"/>
      <c r="AK62" s="19"/>
      <c r="AL62" s="24"/>
      <c r="AM62" s="725" t="s">
        <v>406</v>
      </c>
      <c r="AN62" s="711"/>
      <c r="AO62" s="711" t="s">
        <v>386</v>
      </c>
      <c r="AP62" s="712"/>
      <c r="AQ62" s="15"/>
      <c r="AR62" s="88"/>
      <c r="AS62" s="88"/>
      <c r="AT62" s="88"/>
      <c r="AU62" s="88"/>
      <c r="AV62" s="88"/>
      <c r="AW62" s="196"/>
      <c r="AX62" s="194"/>
      <c r="AY62" s="88"/>
      <c r="AZ62" s="88"/>
      <c r="BA62" s="88"/>
      <c r="BB62" s="164"/>
      <c r="BD62" s="3"/>
      <c r="BG62" s="3"/>
    </row>
    <row r="63" spans="1:59" ht="12.75" customHeight="1">
      <c r="A63" s="6" t="s">
        <v>107</v>
      </c>
      <c r="B63" s="7"/>
      <c r="C63" s="1439"/>
      <c r="D63" s="1440"/>
      <c r="E63" s="603"/>
      <c r="F63" s="21" t="s">
        <v>431</v>
      </c>
      <c r="G63" s="21" t="s">
        <v>430</v>
      </c>
      <c r="H63" s="21" t="s">
        <v>429</v>
      </c>
      <c r="I63" s="14" t="s">
        <v>427</v>
      </c>
      <c r="J63" s="21" t="s">
        <v>362</v>
      </c>
      <c r="K63" s="21" t="s">
        <v>363</v>
      </c>
      <c r="L63" s="21" t="s">
        <v>364</v>
      </c>
      <c r="M63" s="14" t="s">
        <v>365</v>
      </c>
      <c r="N63" s="20" t="s">
        <v>277</v>
      </c>
      <c r="O63" s="21" t="s">
        <v>278</v>
      </c>
      <c r="P63" s="21" t="s">
        <v>279</v>
      </c>
      <c r="Q63" s="14" t="s">
        <v>276</v>
      </c>
      <c r="R63" s="20" t="s">
        <v>222</v>
      </c>
      <c r="S63" s="21" t="s">
        <v>223</v>
      </c>
      <c r="T63" s="21" t="s">
        <v>224</v>
      </c>
      <c r="U63" s="14" t="s">
        <v>225</v>
      </c>
      <c r="V63" s="21" t="s">
        <v>141</v>
      </c>
      <c r="W63" s="21" t="s">
        <v>140</v>
      </c>
      <c r="X63" s="21" t="s">
        <v>139</v>
      </c>
      <c r="Y63" s="14" t="s">
        <v>138</v>
      </c>
      <c r="Z63" s="21" t="s">
        <v>91</v>
      </c>
      <c r="AA63" s="21" t="s">
        <v>92</v>
      </c>
      <c r="AB63" s="21" t="s">
        <v>93</v>
      </c>
      <c r="AC63" s="14" t="s">
        <v>32</v>
      </c>
      <c r="AD63" s="21" t="s">
        <v>33</v>
      </c>
      <c r="AE63" s="21" t="s">
        <v>34</v>
      </c>
      <c r="AF63" s="21" t="s">
        <v>35</v>
      </c>
      <c r="AG63" s="21" t="s">
        <v>36</v>
      </c>
      <c r="AH63" s="23" t="s">
        <v>37</v>
      </c>
      <c r="AI63" s="14" t="s">
        <v>38</v>
      </c>
      <c r="AJ63" s="14" t="s">
        <v>39</v>
      </c>
      <c r="AK63" s="14" t="s">
        <v>40</v>
      </c>
      <c r="AL63" s="259"/>
      <c r="AM63" s="21" t="s">
        <v>363</v>
      </c>
      <c r="AN63" s="21" t="s">
        <v>278</v>
      </c>
      <c r="AO63" s="1460" t="s">
        <v>41</v>
      </c>
      <c r="AP63" s="1440"/>
      <c r="AQ63" s="197"/>
      <c r="AR63" s="20" t="s">
        <v>367</v>
      </c>
      <c r="AS63" s="20" t="s">
        <v>285</v>
      </c>
      <c r="AT63" s="20"/>
      <c r="AU63" s="20"/>
      <c r="AV63" s="20"/>
      <c r="AW63" s="20"/>
      <c r="AX63" s="23"/>
      <c r="AY63" s="23"/>
      <c r="AZ63" s="23"/>
      <c r="BA63" s="23"/>
      <c r="BB63" s="164"/>
      <c r="BD63" s="3"/>
      <c r="BG63" s="3"/>
    </row>
    <row r="64" spans="1:59" ht="12.75" customHeight="1">
      <c r="A64" s="147"/>
      <c r="B64" s="148" t="s">
        <v>4</v>
      </c>
      <c r="C64" s="464"/>
      <c r="D64" s="30"/>
      <c r="E64" s="89"/>
      <c r="F64" s="380"/>
      <c r="G64" s="380"/>
      <c r="H64" s="380"/>
      <c r="I64" s="424">
        <f>+I15</f>
        <v>755</v>
      </c>
      <c r="J64" s="380">
        <f>+J15</f>
        <v>1298</v>
      </c>
      <c r="K64" s="380">
        <f>+K15</f>
        <v>178</v>
      </c>
      <c r="L64" s="380">
        <f>+L15</f>
        <v>1153</v>
      </c>
      <c r="M64" s="424">
        <f>+M15</f>
        <v>844</v>
      </c>
      <c r="N64" s="380">
        <f aca="true" t="shared" si="10" ref="N64:U64">N15</f>
        <v>0</v>
      </c>
      <c r="O64" s="380">
        <f t="shared" si="10"/>
        <v>0</v>
      </c>
      <c r="P64" s="380">
        <f t="shared" si="10"/>
        <v>0</v>
      </c>
      <c r="Q64" s="424">
        <f t="shared" si="10"/>
        <v>0</v>
      </c>
      <c r="R64" s="380">
        <f t="shared" si="10"/>
        <v>72704</v>
      </c>
      <c r="S64" s="380">
        <f t="shared" si="10"/>
        <v>68599</v>
      </c>
      <c r="T64" s="380">
        <f t="shared" si="10"/>
        <v>44539</v>
      </c>
      <c r="U64" s="424">
        <f t="shared" si="10"/>
        <v>47207</v>
      </c>
      <c r="V64" s="380">
        <v>54990</v>
      </c>
      <c r="W64" s="380">
        <v>51733</v>
      </c>
      <c r="X64" s="380">
        <v>40138</v>
      </c>
      <c r="Y64" s="424">
        <v>40185</v>
      </c>
      <c r="Z64" s="390">
        <v>37255</v>
      </c>
      <c r="AA64" s="380">
        <v>33532</v>
      </c>
      <c r="AB64" s="380">
        <v>43844</v>
      </c>
      <c r="AC64" s="424">
        <v>57853</v>
      </c>
      <c r="AD64" s="174">
        <v>54463</v>
      </c>
      <c r="AE64" s="212">
        <v>61166</v>
      </c>
      <c r="AF64" s="212">
        <v>57415</v>
      </c>
      <c r="AG64" s="216">
        <v>76083</v>
      </c>
      <c r="AH64" s="226">
        <v>75876</v>
      </c>
      <c r="AI64" s="216">
        <v>68831</v>
      </c>
      <c r="AJ64" s="216">
        <v>55626</v>
      </c>
      <c r="AK64" s="225">
        <v>72286</v>
      </c>
      <c r="AL64" s="89"/>
      <c r="AM64" s="380">
        <f>SUM(K64:M64)</f>
        <v>2175</v>
      </c>
      <c r="AN64" s="380">
        <f>SUM(O64:Q64)</f>
        <v>0</v>
      </c>
      <c r="AO64" s="31">
        <f>AR64-AS64</f>
        <v>3473</v>
      </c>
      <c r="AP64" s="588" t="e">
        <f>IF(OR((AO64/AS64)&gt;3,(AO64/AS64)&lt;-3),"n.m.",(AO64/AS64))</f>
        <v>#DIV/0!</v>
      </c>
      <c r="AQ64" s="83"/>
      <c r="AR64" s="201">
        <f>SUM(J64:M64)</f>
        <v>3473</v>
      </c>
      <c r="AS64" s="179">
        <f>SUM(N64:Q64)</f>
        <v>0</v>
      </c>
      <c r="AT64" s="179"/>
      <c r="AU64" s="179"/>
      <c r="AV64" s="179"/>
      <c r="AW64" s="224"/>
      <c r="AX64" s="226"/>
      <c r="AY64" s="226"/>
      <c r="AZ64" s="226"/>
      <c r="BA64" s="226"/>
      <c r="BB64" s="164"/>
      <c r="BD64" s="3"/>
      <c r="BG64" s="3"/>
    </row>
    <row r="65" spans="1:59" ht="12.75" customHeight="1">
      <c r="A65" s="83"/>
      <c r="B65" s="148" t="s">
        <v>90</v>
      </c>
      <c r="C65" s="84"/>
      <c r="D65" s="45"/>
      <c r="E65" s="606"/>
      <c r="F65" s="466"/>
      <c r="G65" s="466"/>
      <c r="H65" s="466"/>
      <c r="I65" s="424">
        <f>+I31</f>
        <v>1331</v>
      </c>
      <c r="J65" s="466">
        <f>+J31-J28-J29</f>
        <v>1156</v>
      </c>
      <c r="K65" s="466">
        <f>+K31-K28-K29</f>
        <v>1172</v>
      </c>
      <c r="L65" s="466">
        <f>+L31-L28</f>
        <v>853</v>
      </c>
      <c r="M65" s="424">
        <f>+M31</f>
        <v>967</v>
      </c>
      <c r="N65" s="466">
        <f>N31-N28-N29</f>
        <v>0</v>
      </c>
      <c r="O65" s="466">
        <f>O31</f>
        <v>0</v>
      </c>
      <c r="P65" s="466">
        <f>P31</f>
        <v>0</v>
      </c>
      <c r="Q65" s="424">
        <f>Q31-Q30-Q28</f>
        <v>0</v>
      </c>
      <c r="R65" s="466">
        <f>R31-R30-R28</f>
        <v>54200</v>
      </c>
      <c r="S65" s="466">
        <f>S31-S30-S28</f>
        <v>52012</v>
      </c>
      <c r="T65" s="466">
        <f>T31-T30-T28</f>
        <v>38601</v>
      </c>
      <c r="U65" s="424">
        <f>U31-U30-U28</f>
        <v>39500</v>
      </c>
      <c r="V65" s="466">
        <v>46835</v>
      </c>
      <c r="W65" s="466">
        <v>42047</v>
      </c>
      <c r="X65" s="466">
        <v>35213</v>
      </c>
      <c r="Y65" s="424">
        <v>35168</v>
      </c>
      <c r="Z65" s="466">
        <v>28967</v>
      </c>
      <c r="AA65" s="466">
        <v>34689</v>
      </c>
      <c r="AB65" s="466">
        <v>35911</v>
      </c>
      <c r="AC65" s="424">
        <v>44683</v>
      </c>
      <c r="AD65" s="174">
        <v>43703</v>
      </c>
      <c r="AE65" s="212">
        <v>48132</v>
      </c>
      <c r="AF65" s="212">
        <v>44039</v>
      </c>
      <c r="AG65" s="216">
        <v>57148</v>
      </c>
      <c r="AH65" s="161">
        <v>55349</v>
      </c>
      <c r="AI65" s="216">
        <v>50178</v>
      </c>
      <c r="AJ65" s="216">
        <v>41346</v>
      </c>
      <c r="AK65" s="216">
        <v>55217</v>
      </c>
      <c r="AL65" s="89"/>
      <c r="AM65" s="380">
        <f>SUM(K65:M65)</f>
        <v>2992</v>
      </c>
      <c r="AN65" s="380">
        <f>SUM(O65:Q65)</f>
        <v>0</v>
      </c>
      <c r="AO65" s="31">
        <f>AR65-AS65</f>
        <v>4148</v>
      </c>
      <c r="AP65" s="45" t="e">
        <f>IF(OR((AO65/AS65)&gt;3,(AO65/AS65)&lt;-3),"n.m.",(AO65/AS65))</f>
        <v>#DIV/0!</v>
      </c>
      <c r="AQ65" s="83"/>
      <c r="AR65" s="179">
        <f>SUM(J65:M65)</f>
        <v>4148</v>
      </c>
      <c r="AS65" s="179">
        <f>SUM(N65:Q65)</f>
        <v>0</v>
      </c>
      <c r="AT65" s="179"/>
      <c r="AU65" s="179"/>
      <c r="AV65" s="179"/>
      <c r="AW65" s="174"/>
      <c r="AX65" s="161"/>
      <c r="AY65" s="161"/>
      <c r="AZ65" s="161"/>
      <c r="BA65" s="161"/>
      <c r="BB65" s="164"/>
      <c r="BD65" s="3"/>
      <c r="BG65" s="3"/>
    </row>
    <row r="66" spans="1:59" ht="24">
      <c r="A66" s="83"/>
      <c r="B66" s="546" t="s">
        <v>216</v>
      </c>
      <c r="C66" s="84"/>
      <c r="D66" s="45"/>
      <c r="E66" s="606"/>
      <c r="F66" s="466"/>
      <c r="G66" s="466"/>
      <c r="H66" s="466"/>
      <c r="I66" s="424">
        <f>+I64-I65</f>
        <v>-576</v>
      </c>
      <c r="J66" s="466">
        <f>+J64-J65</f>
        <v>142</v>
      </c>
      <c r="K66" s="466">
        <f>+K64-K65</f>
        <v>-994</v>
      </c>
      <c r="L66" s="466">
        <f>+L64-L65</f>
        <v>300</v>
      </c>
      <c r="M66" s="424">
        <f>+M64-M65</f>
        <v>-123</v>
      </c>
      <c r="N66" s="466">
        <f aca="true" t="shared" si="11" ref="N66:U66">N64-N65</f>
        <v>0</v>
      </c>
      <c r="O66" s="466">
        <f t="shared" si="11"/>
        <v>0</v>
      </c>
      <c r="P66" s="466">
        <f t="shared" si="11"/>
        <v>0</v>
      </c>
      <c r="Q66" s="424">
        <f t="shared" si="11"/>
        <v>0</v>
      </c>
      <c r="R66" s="466">
        <f t="shared" si="11"/>
        <v>18504</v>
      </c>
      <c r="S66" s="466">
        <f t="shared" si="11"/>
        <v>16587</v>
      </c>
      <c r="T66" s="466">
        <f t="shared" si="11"/>
        <v>5938</v>
      </c>
      <c r="U66" s="424">
        <f t="shared" si="11"/>
        <v>7707</v>
      </c>
      <c r="V66" s="466">
        <v>8155</v>
      </c>
      <c r="W66" s="466">
        <v>9686</v>
      </c>
      <c r="X66" s="466">
        <v>4925</v>
      </c>
      <c r="Y66" s="424">
        <v>5017</v>
      </c>
      <c r="Z66" s="466">
        <v>8288</v>
      </c>
      <c r="AA66" s="466">
        <v>-1157</v>
      </c>
      <c r="AB66" s="466">
        <v>7933</v>
      </c>
      <c r="AC66" s="424">
        <v>13170</v>
      </c>
      <c r="AD66" s="174">
        <v>10760</v>
      </c>
      <c r="AE66" s="212">
        <v>13034</v>
      </c>
      <c r="AF66" s="212">
        <v>13376</v>
      </c>
      <c r="AG66" s="216">
        <v>18935</v>
      </c>
      <c r="AH66" s="161">
        <v>20527</v>
      </c>
      <c r="AI66" s="216">
        <v>18653</v>
      </c>
      <c r="AJ66" s="216">
        <v>14280</v>
      </c>
      <c r="AK66" s="216">
        <v>17069</v>
      </c>
      <c r="AL66" s="89"/>
      <c r="AM66" s="380">
        <f>+AM64-AM65</f>
        <v>-817</v>
      </c>
      <c r="AN66" s="380">
        <f>+AN64-AN65</f>
        <v>0</v>
      </c>
      <c r="AO66" s="31">
        <f>AR66-AS66</f>
        <v>-675</v>
      </c>
      <c r="AP66" s="45" t="e">
        <f>IF(OR((AO66/AS66)&gt;3,(AO66/AS66)&lt;-3),"n.m.",(AO66/AS66))</f>
        <v>#DIV/0!</v>
      </c>
      <c r="AQ66" s="83"/>
      <c r="AR66" s="179">
        <f>SUM(J66:M66)</f>
        <v>-675</v>
      </c>
      <c r="AS66" s="179">
        <f>AS64-AS65</f>
        <v>0</v>
      </c>
      <c r="AT66" s="179"/>
      <c r="AU66" s="179"/>
      <c r="AV66" s="179"/>
      <c r="AW66" s="174"/>
      <c r="AX66" s="161"/>
      <c r="AY66" s="161"/>
      <c r="AZ66" s="161"/>
      <c r="BA66" s="161"/>
      <c r="BB66" s="164"/>
      <c r="BD66" s="3"/>
      <c r="BG66" s="3"/>
    </row>
    <row r="67" spans="1:59" ht="12.75">
      <c r="A67" s="83"/>
      <c r="B67" s="546" t="s">
        <v>82</v>
      </c>
      <c r="C67" s="154"/>
      <c r="D67" s="552"/>
      <c r="E67" s="606"/>
      <c r="F67" s="474"/>
      <c r="G67" s="474"/>
      <c r="H67" s="474"/>
      <c r="I67" s="426">
        <f>+I66</f>
        <v>-576</v>
      </c>
      <c r="J67" s="474">
        <f>+J66</f>
        <v>142</v>
      </c>
      <c r="K67" s="474">
        <f>+K66</f>
        <v>-994</v>
      </c>
      <c r="L67" s="474">
        <f>+L66</f>
        <v>300</v>
      </c>
      <c r="M67" s="426">
        <f>+M66</f>
        <v>-123</v>
      </c>
      <c r="N67" s="474">
        <f aca="true" t="shared" si="12" ref="N67:S67">+N66-N37</f>
        <v>0</v>
      </c>
      <c r="O67" s="474">
        <f t="shared" si="12"/>
        <v>0</v>
      </c>
      <c r="P67" s="474">
        <f t="shared" si="12"/>
        <v>0</v>
      </c>
      <c r="Q67" s="426">
        <f t="shared" si="12"/>
        <v>0</v>
      </c>
      <c r="R67" s="474">
        <f t="shared" si="12"/>
        <v>9122</v>
      </c>
      <c r="S67" s="474">
        <f t="shared" si="12"/>
        <v>8143</v>
      </c>
      <c r="T67" s="474"/>
      <c r="U67" s="426"/>
      <c r="V67" s="474"/>
      <c r="W67" s="474"/>
      <c r="X67" s="474"/>
      <c r="Y67" s="426"/>
      <c r="Z67" s="474"/>
      <c r="AA67" s="474"/>
      <c r="AB67" s="474"/>
      <c r="AC67" s="426"/>
      <c r="AD67" s="211"/>
      <c r="AE67" s="218"/>
      <c r="AF67" s="218"/>
      <c r="AG67" s="219"/>
      <c r="AH67" s="206"/>
      <c r="AI67" s="219"/>
      <c r="AJ67" s="219"/>
      <c r="AK67" s="219"/>
      <c r="AL67" s="89"/>
      <c r="AM67" s="474">
        <f>+AM66-AM37</f>
        <v>-27970</v>
      </c>
      <c r="AN67" s="474">
        <f>+AN66-AN37</f>
        <v>0</v>
      </c>
      <c r="AO67" s="474">
        <f>AR67-AS67</f>
        <v>-675</v>
      </c>
      <c r="AP67" s="552" t="e">
        <f>IF(OR((AO67/AS67)&gt;3,(AO67/AS67)&lt;-3),"n.m.",(AO67/AS67))</f>
        <v>#DIV/0!</v>
      </c>
      <c r="AQ67" s="83"/>
      <c r="AR67" s="198">
        <f>SUM(J67:M67)</f>
        <v>-675</v>
      </c>
      <c r="AS67" s="198">
        <f>+AS66-AS37</f>
        <v>0</v>
      </c>
      <c r="AT67" s="198"/>
      <c r="AU67" s="198"/>
      <c r="AV67" s="198"/>
      <c r="AW67" s="211"/>
      <c r="AX67" s="206"/>
      <c r="AY67" s="206"/>
      <c r="AZ67" s="206"/>
      <c r="BA67" s="206"/>
      <c r="BB67" s="164"/>
      <c r="BD67" s="3"/>
      <c r="BG67" s="3"/>
    </row>
    <row r="68" spans="1:59" ht="12.75" customHeight="1">
      <c r="A68" s="83"/>
      <c r="B68" s="148"/>
      <c r="C68" s="153"/>
      <c r="D68" s="11"/>
      <c r="E68" s="11"/>
      <c r="F68" s="11"/>
      <c r="G68" s="11"/>
      <c r="H68" s="11"/>
      <c r="I68" s="148"/>
      <c r="J68" s="11"/>
      <c r="K68" s="11"/>
      <c r="L68" s="11"/>
      <c r="M68" s="148"/>
      <c r="N68" s="488"/>
      <c r="O68" s="11"/>
      <c r="P68" s="11"/>
      <c r="Q68" s="148"/>
      <c r="R68" s="11"/>
      <c r="S68" s="11"/>
      <c r="T68" s="11"/>
      <c r="U68" s="148"/>
      <c r="V68" s="11"/>
      <c r="W68" s="11"/>
      <c r="X68" s="11"/>
      <c r="Y68" s="148"/>
      <c r="Z68" s="11"/>
      <c r="AA68" s="11"/>
      <c r="AB68" s="11"/>
      <c r="AC68" s="148"/>
      <c r="AD68" s="83"/>
      <c r="AE68" s="83"/>
      <c r="AF68" s="83"/>
      <c r="AG68" s="83"/>
      <c r="AH68" s="83"/>
      <c r="AI68" s="83"/>
      <c r="AJ68" s="83"/>
      <c r="AK68" s="83"/>
      <c r="AL68" s="148"/>
      <c r="AM68" s="148"/>
      <c r="AN68" s="148"/>
      <c r="AO68" s="153"/>
      <c r="AP68" s="11"/>
      <c r="AQ68" s="148"/>
      <c r="AR68" s="148"/>
      <c r="AS68" s="148"/>
      <c r="AT68" s="148"/>
      <c r="AU68" s="148"/>
      <c r="AV68" s="148"/>
      <c r="AW68" s="83"/>
      <c r="AX68" s="83"/>
      <c r="AY68" s="31"/>
      <c r="AZ68" s="31"/>
      <c r="BA68" s="31"/>
      <c r="BB68" s="148"/>
      <c r="BD68" s="3"/>
      <c r="BG68" s="3"/>
    </row>
    <row r="69" spans="1:59" ht="12.75" customHeight="1">
      <c r="A69" s="83"/>
      <c r="B69" s="145" t="s">
        <v>85</v>
      </c>
      <c r="C69" s="228"/>
      <c r="D69" s="11"/>
      <c r="E69" s="11"/>
      <c r="F69" s="11"/>
      <c r="G69" s="11"/>
      <c r="H69" s="11"/>
      <c r="I69" s="11">
        <f>+(I65-I19-I20)/I15</f>
        <v>0.8529801324503311</v>
      </c>
      <c r="J69" s="11">
        <f>+(J65-J19-J20)/J15</f>
        <v>0.27041602465331277</v>
      </c>
      <c r="K69" s="11">
        <f>+(K65-K19-K20)/K15</f>
        <v>1.848314606741573</v>
      </c>
      <c r="L69" s="11">
        <f>+(L65-L19-L20)/L15</f>
        <v>0.4518647007805724</v>
      </c>
      <c r="M69" s="11">
        <f aca="true" t="shared" si="13" ref="M69:U69">(M21+M22+M23+M24+M25+M26+M27)/M64</f>
        <v>0.46919431279620855</v>
      </c>
      <c r="N69" s="11" t="e">
        <f t="shared" si="13"/>
        <v>#DIV/0!</v>
      </c>
      <c r="O69" s="11" t="e">
        <f t="shared" si="13"/>
        <v>#DIV/0!</v>
      </c>
      <c r="P69" s="11" t="e">
        <f t="shared" si="13"/>
        <v>#DIV/0!</v>
      </c>
      <c r="Q69" s="11" t="e">
        <f t="shared" si="13"/>
        <v>#DIV/0!</v>
      </c>
      <c r="R69" s="11">
        <f t="shared" si="13"/>
        <v>0.18037522007042253</v>
      </c>
      <c r="S69" s="11">
        <f t="shared" si="13"/>
        <v>0.1823641744048747</v>
      </c>
      <c r="T69" s="11">
        <f t="shared" si="13"/>
        <v>0.27443364242573925</v>
      </c>
      <c r="U69" s="11">
        <f t="shared" si="13"/>
        <v>0.2613383608363167</v>
      </c>
      <c r="V69" s="11">
        <v>0.2738497908710675</v>
      </c>
      <c r="W69" s="11">
        <v>0.26397077300755806</v>
      </c>
      <c r="X69" s="11">
        <v>0.28613782450545616</v>
      </c>
      <c r="Y69" s="11">
        <v>0.3055617767823815</v>
      </c>
      <c r="Z69" s="11">
        <v>0.30438867266138775</v>
      </c>
      <c r="AA69" s="11">
        <v>0.5200107360133603</v>
      </c>
      <c r="AB69" s="11">
        <v>0.28095064318949003</v>
      </c>
      <c r="AC69" s="11">
        <v>0.2411629474703127</v>
      </c>
      <c r="AD69" s="35">
        <v>0.27273561867689994</v>
      </c>
      <c r="AE69" s="35">
        <v>0.268</v>
      </c>
      <c r="AF69" s="35">
        <v>0.264</v>
      </c>
      <c r="AG69" s="35">
        <v>0.20299999999999996</v>
      </c>
      <c r="AH69" s="35">
        <v>0.19</v>
      </c>
      <c r="AI69" s="35">
        <v>0.22199999999999998</v>
      </c>
      <c r="AJ69" s="35">
        <v>0.244</v>
      </c>
      <c r="AK69" s="35">
        <v>0.255</v>
      </c>
      <c r="AL69" s="148"/>
      <c r="AM69" s="11">
        <f>+(AM65-AM19-AM20)/AM15</f>
        <v>0.5728735632183908</v>
      </c>
      <c r="AN69" s="11" t="e">
        <f>(AN21+AN22+AN23+AN24+AN25+AN26+AN27)/AN64</f>
        <v>#DIV/0!</v>
      </c>
      <c r="AO69" s="228" t="e">
        <f>(AR69-AS69)*100</f>
        <v>#DIV/0!</v>
      </c>
      <c r="AP69" s="11"/>
      <c r="AQ69" s="148"/>
      <c r="AR69" s="11">
        <f>(AR21+AR22+AR23+AR24+AR25+AR26+AR27)/AR64</f>
        <v>0.45983299740858047</v>
      </c>
      <c r="AS69" s="11" t="e">
        <f>(AS21+AS22+AS23+AS24+AS25+AS26+AS27)/AS64</f>
        <v>#DIV/0!</v>
      </c>
      <c r="AT69" s="11"/>
      <c r="AU69" s="35"/>
      <c r="AV69" s="35"/>
      <c r="AW69" s="35"/>
      <c r="AX69" s="35"/>
      <c r="AY69" s="358"/>
      <c r="AZ69" s="358"/>
      <c r="BA69" s="358"/>
      <c r="BB69" s="148"/>
      <c r="BD69" s="3"/>
      <c r="BG69" s="3"/>
    </row>
    <row r="70" spans="1:59" ht="12.75" customHeight="1">
      <c r="A70" s="83"/>
      <c r="B70" s="145" t="s">
        <v>86</v>
      </c>
      <c r="C70" s="228"/>
      <c r="D70" s="11"/>
      <c r="E70" s="11"/>
      <c r="F70" s="11"/>
      <c r="G70" s="11"/>
      <c r="H70" s="11"/>
      <c r="I70" s="11">
        <f>I65/I64</f>
        <v>1.7629139072847682</v>
      </c>
      <c r="J70" s="11">
        <f>J65/J64</f>
        <v>0.8906009244992296</v>
      </c>
      <c r="K70" s="11">
        <f>K65/K64</f>
        <v>6.584269662921348</v>
      </c>
      <c r="L70" s="11">
        <f>L65/L64</f>
        <v>0.7398091934084996</v>
      </c>
      <c r="M70" s="11">
        <f aca="true" t="shared" si="14" ref="M70:U70">M65/M64</f>
        <v>1.1457345971563981</v>
      </c>
      <c r="N70" s="11" t="e">
        <f t="shared" si="14"/>
        <v>#DIV/0!</v>
      </c>
      <c r="O70" s="11" t="e">
        <f t="shared" si="14"/>
        <v>#DIV/0!</v>
      </c>
      <c r="P70" s="11" t="e">
        <f t="shared" si="14"/>
        <v>#DIV/0!</v>
      </c>
      <c r="Q70" s="11" t="e">
        <f t="shared" si="14"/>
        <v>#DIV/0!</v>
      </c>
      <c r="R70" s="11">
        <f t="shared" si="14"/>
        <v>0.7454885563380281</v>
      </c>
      <c r="S70" s="11">
        <f t="shared" si="14"/>
        <v>0.7582034723538243</v>
      </c>
      <c r="T70" s="11">
        <f t="shared" si="14"/>
        <v>0.8666786411908665</v>
      </c>
      <c r="U70" s="11">
        <f t="shared" si="14"/>
        <v>0.8367403139364925</v>
      </c>
      <c r="V70" s="11">
        <v>0.8517003091471177</v>
      </c>
      <c r="W70" s="11">
        <v>0.8127694121740475</v>
      </c>
      <c r="X70" s="11">
        <v>0.8772983207932632</v>
      </c>
      <c r="Y70" s="11">
        <v>0.8751524200572353</v>
      </c>
      <c r="Z70" s="11">
        <v>0.7775332170178499</v>
      </c>
      <c r="AA70" s="11">
        <v>1.0345043540498629</v>
      </c>
      <c r="AB70" s="11">
        <v>0.8190630416932762</v>
      </c>
      <c r="AC70" s="11">
        <v>0.7723540697975905</v>
      </c>
      <c r="AD70" s="35">
        <v>0.8024346804252428</v>
      </c>
      <c r="AE70" s="35">
        <v>0.787</v>
      </c>
      <c r="AF70" s="35">
        <v>0.767</v>
      </c>
      <c r="AG70" s="35">
        <v>0.751</v>
      </c>
      <c r="AH70" s="35">
        <v>0.729</v>
      </c>
      <c r="AI70" s="35">
        <v>0.729</v>
      </c>
      <c r="AJ70" s="35">
        <v>0.743</v>
      </c>
      <c r="AK70" s="35">
        <v>0.764</v>
      </c>
      <c r="AL70" s="148"/>
      <c r="AM70" s="11">
        <f>AM65/AM64</f>
        <v>1.3756321839080459</v>
      </c>
      <c r="AN70" s="11" t="e">
        <f>AN65/AN64</f>
        <v>#DIV/0!</v>
      </c>
      <c r="AO70" s="228" t="e">
        <f>(AR70-AS70)*100</f>
        <v>#DIV/0!</v>
      </c>
      <c r="AP70" s="11"/>
      <c r="AQ70" s="148"/>
      <c r="AR70" s="11">
        <f>AR65/AR64</f>
        <v>1.19435646415203</v>
      </c>
      <c r="AS70" s="11" t="e">
        <f>AS65/AS64</f>
        <v>#DIV/0!</v>
      </c>
      <c r="AT70" s="11"/>
      <c r="AU70" s="35"/>
      <c r="AV70" s="35"/>
      <c r="AW70" s="35"/>
      <c r="AX70" s="35"/>
      <c r="AY70" s="358"/>
      <c r="AZ70" s="358"/>
      <c r="BA70" s="358"/>
      <c r="BB70" s="148"/>
      <c r="BD70" s="3"/>
      <c r="BG70" s="3"/>
    </row>
    <row r="71" spans="1:56" ht="12.75" customHeight="1">
      <c r="A71" s="83"/>
      <c r="B71" s="145" t="s">
        <v>215</v>
      </c>
      <c r="C71" s="228"/>
      <c r="D71" s="11"/>
      <c r="E71" s="11"/>
      <c r="F71" s="11"/>
      <c r="G71" s="11"/>
      <c r="H71" s="11"/>
      <c r="I71" s="11">
        <f aca="true" t="shared" si="15" ref="I71:U71">I66/I64</f>
        <v>-0.7629139072847683</v>
      </c>
      <c r="J71" s="11">
        <f t="shared" si="15"/>
        <v>0.10939907550077041</v>
      </c>
      <c r="K71" s="11">
        <f t="shared" si="15"/>
        <v>-5.584269662921348</v>
      </c>
      <c r="L71" s="11">
        <f>L66/L64</f>
        <v>0.26019080659150046</v>
      </c>
      <c r="M71" s="11">
        <f>M66/M64</f>
        <v>-0.1457345971563981</v>
      </c>
      <c r="N71" s="11" t="e">
        <f t="shared" si="15"/>
        <v>#DIV/0!</v>
      </c>
      <c r="O71" s="11" t="e">
        <f>O66/O64</f>
        <v>#DIV/0!</v>
      </c>
      <c r="P71" s="11" t="e">
        <f t="shared" si="15"/>
        <v>#DIV/0!</v>
      </c>
      <c r="Q71" s="11" t="e">
        <f t="shared" si="15"/>
        <v>#DIV/0!</v>
      </c>
      <c r="R71" s="11">
        <f t="shared" si="15"/>
        <v>0.2545114436619718</v>
      </c>
      <c r="S71" s="11">
        <f t="shared" si="15"/>
        <v>0.2417965276461756</v>
      </c>
      <c r="T71" s="11">
        <f t="shared" si="15"/>
        <v>0.13332135880913357</v>
      </c>
      <c r="U71" s="11">
        <f t="shared" si="15"/>
        <v>0.16325968606350752</v>
      </c>
      <c r="V71" s="11">
        <v>0.14829969085288233</v>
      </c>
      <c r="W71" s="11">
        <v>0.18723058782595248</v>
      </c>
      <c r="X71" s="11">
        <v>0.12270167920673676</v>
      </c>
      <c r="Y71" s="11">
        <v>0.12484757994276471</v>
      </c>
      <c r="Z71" s="11">
        <v>0.22246678298215006</v>
      </c>
      <c r="AA71" s="11">
        <v>-0.034504354049862816</v>
      </c>
      <c r="AB71" s="11">
        <v>0.18093695830672385</v>
      </c>
      <c r="AC71" s="11">
        <v>0.22764593020240956</v>
      </c>
      <c r="AD71" s="35">
        <v>0.19756531957475718</v>
      </c>
      <c r="AE71" s="35">
        <v>0.21299999999999997</v>
      </c>
      <c r="AF71" s="35">
        <v>0.23299999999999998</v>
      </c>
      <c r="AG71" s="35">
        <v>0.249</v>
      </c>
      <c r="AH71" s="35">
        <v>0.271</v>
      </c>
      <c r="AI71" s="35">
        <v>0.271</v>
      </c>
      <c r="AJ71" s="35">
        <v>0.257</v>
      </c>
      <c r="AK71" s="35">
        <v>0.236</v>
      </c>
      <c r="AL71" s="148"/>
      <c r="AM71" s="11">
        <f>AM66/AM64</f>
        <v>-0.375632183908046</v>
      </c>
      <c r="AN71" s="11" t="e">
        <f>AN66/AN64</f>
        <v>#DIV/0!</v>
      </c>
      <c r="AO71" s="228" t="e">
        <f>(AR71-AS71)*100</f>
        <v>#DIV/0!</v>
      </c>
      <c r="AP71" s="11"/>
      <c r="AQ71" s="148"/>
      <c r="AR71" s="11">
        <f>AR66/AR64</f>
        <v>-0.19435646415202995</v>
      </c>
      <c r="AS71" s="11" t="e">
        <f>AS66/AS64</f>
        <v>#DIV/0!</v>
      </c>
      <c r="AT71" s="11"/>
      <c r="AU71" s="35"/>
      <c r="AV71" s="35"/>
      <c r="AW71" s="35"/>
      <c r="AX71" s="35"/>
      <c r="AY71" s="358"/>
      <c r="AZ71" s="358"/>
      <c r="BA71" s="358"/>
      <c r="BB71" s="148"/>
      <c r="BD71" s="3"/>
    </row>
    <row r="72" spans="1:56" ht="12.75" customHeight="1">
      <c r="A72" s="83"/>
      <c r="B72" s="145"/>
      <c r="C72" s="228"/>
      <c r="D72" s="11"/>
      <c r="E72" s="11"/>
      <c r="F72" s="11"/>
      <c r="G72" s="11"/>
      <c r="H72" s="11"/>
      <c r="I72" s="11"/>
      <c r="J72" s="11"/>
      <c r="K72" s="11"/>
      <c r="L72" s="11"/>
      <c r="M72" s="11"/>
      <c r="P72" s="11"/>
      <c r="Q72" s="11"/>
      <c r="R72" s="11"/>
      <c r="S72" s="11"/>
      <c r="T72" s="11"/>
      <c r="U72" s="11"/>
      <c r="V72" s="11"/>
      <c r="W72" s="11"/>
      <c r="X72" s="11"/>
      <c r="Y72" s="11"/>
      <c r="Z72" s="11"/>
      <c r="AA72" s="11"/>
      <c r="AB72" s="11"/>
      <c r="AC72" s="11"/>
      <c r="AD72" s="35"/>
      <c r="AE72" s="35"/>
      <c r="AF72" s="35"/>
      <c r="AG72" s="35"/>
      <c r="AH72" s="35"/>
      <c r="AI72" s="35"/>
      <c r="AJ72" s="35"/>
      <c r="AK72" s="35"/>
      <c r="AL72" s="148"/>
      <c r="AM72" s="148"/>
      <c r="AN72" s="148"/>
      <c r="AO72" s="228"/>
      <c r="AP72" s="11"/>
      <c r="AQ72" s="148"/>
      <c r="AR72" s="35"/>
      <c r="AS72" s="35"/>
      <c r="AT72" s="35"/>
      <c r="AU72" s="35"/>
      <c r="AV72" s="35"/>
      <c r="AW72" s="35"/>
      <c r="AX72" s="35"/>
      <c r="AY72" s="358"/>
      <c r="AZ72" s="358"/>
      <c r="BA72" s="358"/>
      <c r="BB72" s="148"/>
      <c r="BD72" s="3"/>
    </row>
    <row r="73" spans="1:56" ht="12.75" customHeight="1">
      <c r="A73" s="12" t="s">
        <v>227</v>
      </c>
      <c r="B73" s="145"/>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7"/>
      <c r="AH73" s="148"/>
      <c r="AI73" s="7"/>
      <c r="AJ73" s="7"/>
      <c r="AK73" s="148"/>
      <c r="AL73" s="148"/>
      <c r="AM73" s="148"/>
      <c r="AN73" s="148"/>
      <c r="AO73" s="148"/>
      <c r="AP73" s="148"/>
      <c r="AQ73" s="148"/>
      <c r="AR73" s="148"/>
      <c r="AS73" s="148"/>
      <c r="AT73" s="148"/>
      <c r="AU73" s="148"/>
      <c r="AV73" s="148"/>
      <c r="AW73" s="148"/>
      <c r="AX73" s="148"/>
      <c r="AY73" s="31"/>
      <c r="AZ73" s="358"/>
      <c r="BA73" s="358"/>
      <c r="BB73" s="148"/>
      <c r="BD73" s="3"/>
    </row>
    <row r="74" spans="3:56" ht="12.75" customHeight="1">
      <c r="C74" s="1437"/>
      <c r="D74" s="1438"/>
      <c r="E74" s="259"/>
      <c r="F74" s="477"/>
      <c r="G74" s="477"/>
      <c r="H74" s="477"/>
      <c r="I74" s="19"/>
      <c r="J74" s="477"/>
      <c r="K74" s="477"/>
      <c r="L74" s="477"/>
      <c r="M74" s="19"/>
      <c r="N74" s="17"/>
      <c r="O74" s="18"/>
      <c r="P74" s="477"/>
      <c r="Q74" s="19"/>
      <c r="R74" s="17"/>
      <c r="S74" s="18"/>
      <c r="T74" s="477"/>
      <c r="U74" s="19"/>
      <c r="W74" s="18"/>
      <c r="X74" s="2"/>
      <c r="Y74" s="19"/>
      <c r="Z74" s="18"/>
      <c r="AB74" s="477"/>
      <c r="AC74" s="19"/>
      <c r="AD74" s="18"/>
      <c r="AE74" s="18"/>
      <c r="AF74" s="18"/>
      <c r="AG74" s="18"/>
      <c r="AH74" s="22"/>
      <c r="AI74" s="19"/>
      <c r="AJ74" s="19"/>
      <c r="AK74" s="19"/>
      <c r="AL74" s="24"/>
      <c r="AM74" s="725" t="s">
        <v>406</v>
      </c>
      <c r="AN74" s="711"/>
      <c r="AO74" s="711" t="s">
        <v>386</v>
      </c>
      <c r="AP74" s="712"/>
      <c r="AQ74" s="148"/>
      <c r="AR74" s="88"/>
      <c r="AS74" s="88"/>
      <c r="AT74" s="88"/>
      <c r="AU74" s="88"/>
      <c r="AV74" s="88"/>
      <c r="AW74" s="196"/>
      <c r="AX74" s="194"/>
      <c r="AY74" s="88"/>
      <c r="AZ74" s="358"/>
      <c r="BA74" s="358"/>
      <c r="BB74" s="164"/>
      <c r="BD74" s="3"/>
    </row>
    <row r="75" spans="3:56" ht="12.75" customHeight="1">
      <c r="C75" s="1439"/>
      <c r="D75" s="1440"/>
      <c r="E75" s="603"/>
      <c r="F75" s="21" t="s">
        <v>431</v>
      </c>
      <c r="G75" s="21" t="s">
        <v>430</v>
      </c>
      <c r="H75" s="21" t="s">
        <v>429</v>
      </c>
      <c r="I75" s="14" t="s">
        <v>427</v>
      </c>
      <c r="J75" s="21" t="s">
        <v>362</v>
      </c>
      <c r="K75" s="21" t="s">
        <v>363</v>
      </c>
      <c r="L75" s="21" t="s">
        <v>364</v>
      </c>
      <c r="M75" s="14" t="s">
        <v>365</v>
      </c>
      <c r="N75" s="20" t="s">
        <v>277</v>
      </c>
      <c r="O75" s="21" t="s">
        <v>278</v>
      </c>
      <c r="P75" s="21" t="s">
        <v>279</v>
      </c>
      <c r="Q75" s="14" t="s">
        <v>276</v>
      </c>
      <c r="R75" s="20" t="s">
        <v>222</v>
      </c>
      <c r="S75" s="21" t="s">
        <v>223</v>
      </c>
      <c r="T75" s="21" t="s">
        <v>224</v>
      </c>
      <c r="U75" s="14" t="s">
        <v>225</v>
      </c>
      <c r="V75" s="21" t="s">
        <v>141</v>
      </c>
      <c r="W75" s="21" t="s">
        <v>140</v>
      </c>
      <c r="X75" s="21" t="s">
        <v>139</v>
      </c>
      <c r="Y75" s="14" t="s">
        <v>138</v>
      </c>
      <c r="Z75" s="21" t="s">
        <v>91</v>
      </c>
      <c r="AA75" s="21" t="s">
        <v>92</v>
      </c>
      <c r="AB75" s="21" t="s">
        <v>93</v>
      </c>
      <c r="AC75" s="14" t="s">
        <v>32</v>
      </c>
      <c r="AD75" s="21" t="s">
        <v>33</v>
      </c>
      <c r="AE75" s="21" t="s">
        <v>34</v>
      </c>
      <c r="AF75" s="21" t="s">
        <v>35</v>
      </c>
      <c r="AG75" s="21" t="s">
        <v>36</v>
      </c>
      <c r="AH75" s="23" t="s">
        <v>37</v>
      </c>
      <c r="AI75" s="14" t="s">
        <v>38</v>
      </c>
      <c r="AJ75" s="14" t="s">
        <v>39</v>
      </c>
      <c r="AK75" s="14" t="s">
        <v>40</v>
      </c>
      <c r="AL75" s="259"/>
      <c r="AM75" s="21" t="s">
        <v>363</v>
      </c>
      <c r="AN75" s="21" t="s">
        <v>278</v>
      </c>
      <c r="AO75" s="1460" t="s">
        <v>41</v>
      </c>
      <c r="AP75" s="1440"/>
      <c r="AQ75" s="148"/>
      <c r="AR75" s="20" t="s">
        <v>367</v>
      </c>
      <c r="AS75" s="20" t="s">
        <v>285</v>
      </c>
      <c r="AT75" s="20"/>
      <c r="AU75" s="20"/>
      <c r="AV75" s="20"/>
      <c r="AW75" s="20"/>
      <c r="AX75" s="23"/>
      <c r="AY75" s="23"/>
      <c r="AZ75" s="358"/>
      <c r="BA75" s="358"/>
      <c r="BB75" s="164"/>
      <c r="BD75" s="3"/>
    </row>
    <row r="76" spans="1:56" ht="12.75" customHeight="1">
      <c r="A76" s="83"/>
      <c r="B76" s="7" t="s">
        <v>407</v>
      </c>
      <c r="C76" s="84"/>
      <c r="D76" s="45"/>
      <c r="E76" s="89"/>
      <c r="F76" s="466"/>
      <c r="G76" s="466"/>
      <c r="H76" s="466"/>
      <c r="I76" s="443">
        <v>628</v>
      </c>
      <c r="J76" s="466">
        <v>802</v>
      </c>
      <c r="K76" s="466">
        <v>73</v>
      </c>
      <c r="L76" s="466">
        <v>929</v>
      </c>
      <c r="M76" s="443">
        <v>776</v>
      </c>
      <c r="N76" s="466"/>
      <c r="O76" s="466"/>
      <c r="P76" s="466"/>
      <c r="Q76" s="443"/>
      <c r="R76" s="466">
        <v>46851</v>
      </c>
      <c r="S76" s="466">
        <v>45775</v>
      </c>
      <c r="T76" s="466">
        <v>32880</v>
      </c>
      <c r="U76" s="443">
        <v>34953</v>
      </c>
      <c r="V76" s="466">
        <v>38197</v>
      </c>
      <c r="W76" s="466">
        <v>34040</v>
      </c>
      <c r="X76" s="466">
        <v>30370</v>
      </c>
      <c r="Y76" s="443">
        <v>29756</v>
      </c>
      <c r="Z76" s="231">
        <v>24593</v>
      </c>
      <c r="AA76" s="496">
        <v>27916</v>
      </c>
      <c r="AB76" s="612">
        <v>32886</v>
      </c>
      <c r="AC76" s="443">
        <v>42504</v>
      </c>
      <c r="AD76" s="424">
        <v>29584</v>
      </c>
      <c r="AE76" s="148"/>
      <c r="AF76" s="148"/>
      <c r="AG76" s="7"/>
      <c r="AH76" s="148"/>
      <c r="AI76" s="7"/>
      <c r="AJ76" s="7"/>
      <c r="AK76" s="148"/>
      <c r="AL76" s="89"/>
      <c r="AM76" s="380">
        <f aca="true" t="shared" si="16" ref="AM76:AM81">SUM(K76:M76)</f>
        <v>1778</v>
      </c>
      <c r="AN76" s="380">
        <f aca="true" t="shared" si="17" ref="AN76:AN81">SUM(O76:Q76)</f>
        <v>0</v>
      </c>
      <c r="AO76" s="488">
        <f aca="true" t="shared" si="18" ref="AO76:AO82">AR76-AS76</f>
        <v>2580</v>
      </c>
      <c r="AP76" s="45" t="e">
        <f aca="true" t="shared" si="19" ref="AP76:AP82">IF(OR((AO76/AS76)&gt;3,(AO76/AS76)&lt;-3),"n.m.",(AO76/AS76))</f>
        <v>#DIV/0!</v>
      </c>
      <c r="AQ76" s="148"/>
      <c r="AR76" s="179">
        <f aca="true" t="shared" si="20" ref="AR76:AR81">SUM(J76:M76)</f>
        <v>2580</v>
      </c>
      <c r="AS76" s="179">
        <f aca="true" t="shared" si="21" ref="AS76:AS81">SUM(N76:Q76)</f>
        <v>0</v>
      </c>
      <c r="AT76" s="179"/>
      <c r="AU76" s="179"/>
      <c r="AV76" s="179"/>
      <c r="AW76" s="224"/>
      <c r="AX76" s="226"/>
      <c r="AY76" s="360"/>
      <c r="AZ76" s="358"/>
      <c r="BA76" s="358"/>
      <c r="BB76" s="164"/>
      <c r="BD76" s="3"/>
    </row>
    <row r="77" spans="1:56" ht="12.75" customHeight="1">
      <c r="A77" s="83"/>
      <c r="B77" s="7" t="s">
        <v>70</v>
      </c>
      <c r="C77" s="84"/>
      <c r="D77" s="45"/>
      <c r="E77" s="89"/>
      <c r="F77" s="466"/>
      <c r="G77" s="466"/>
      <c r="H77" s="466"/>
      <c r="I77" s="443">
        <v>-50</v>
      </c>
      <c r="J77" s="466">
        <v>330</v>
      </c>
      <c r="K77" s="466">
        <v>-22</v>
      </c>
      <c r="L77" s="466">
        <v>136</v>
      </c>
      <c r="M77" s="443">
        <v>-23</v>
      </c>
      <c r="N77" s="466"/>
      <c r="O77" s="466"/>
      <c r="P77" s="466"/>
      <c r="Q77" s="443"/>
      <c r="R77" s="466">
        <v>19176</v>
      </c>
      <c r="S77" s="466">
        <v>18914</v>
      </c>
      <c r="T77" s="466">
        <v>8124</v>
      </c>
      <c r="U77" s="443">
        <v>9445</v>
      </c>
      <c r="V77" s="466">
        <v>10808</v>
      </c>
      <c r="W77" s="466">
        <v>10384</v>
      </c>
      <c r="X77" s="466">
        <v>6254</v>
      </c>
      <c r="Y77" s="443">
        <v>5954</v>
      </c>
      <c r="Z77" s="231">
        <v>5426</v>
      </c>
      <c r="AA77" s="466">
        <v>1798</v>
      </c>
      <c r="AB77" s="443">
        <v>5110</v>
      </c>
      <c r="AC77" s="443">
        <v>8533</v>
      </c>
      <c r="AD77" s="424">
        <v>68274</v>
      </c>
      <c r="AE77" s="148"/>
      <c r="AF77" s="148"/>
      <c r="AG77" s="7"/>
      <c r="AH77" s="148"/>
      <c r="AI77" s="7"/>
      <c r="AJ77" s="7"/>
      <c r="AK77" s="148"/>
      <c r="AL77" s="89"/>
      <c r="AM77" s="380">
        <f t="shared" si="16"/>
        <v>91</v>
      </c>
      <c r="AN77" s="380">
        <f t="shared" si="17"/>
        <v>0</v>
      </c>
      <c r="AO77" s="610">
        <f t="shared" si="18"/>
        <v>421</v>
      </c>
      <c r="AP77" s="45" t="e">
        <f t="shared" si="19"/>
        <v>#DIV/0!</v>
      </c>
      <c r="AQ77" s="148"/>
      <c r="AR77" s="179">
        <f t="shared" si="20"/>
        <v>421</v>
      </c>
      <c r="AS77" s="179">
        <f t="shared" si="21"/>
        <v>0</v>
      </c>
      <c r="AT77" s="179"/>
      <c r="AU77" s="179"/>
      <c r="AV77" s="179"/>
      <c r="AW77" s="174"/>
      <c r="AX77" s="161"/>
      <c r="AY77" s="43"/>
      <c r="AZ77" s="358"/>
      <c r="BA77" s="358"/>
      <c r="BB77" s="164"/>
      <c r="BD77" s="3"/>
    </row>
    <row r="78" spans="1:56" ht="12.75" customHeight="1">
      <c r="A78" s="83"/>
      <c r="B78" s="7" t="s">
        <v>255</v>
      </c>
      <c r="C78" s="84"/>
      <c r="D78" s="45"/>
      <c r="E78" s="89"/>
      <c r="F78" s="466"/>
      <c r="G78" s="466"/>
      <c r="H78" s="466"/>
      <c r="I78" s="168">
        <v>0</v>
      </c>
      <c r="J78" s="466">
        <v>0</v>
      </c>
      <c r="K78" s="466">
        <v>0</v>
      </c>
      <c r="L78" s="466">
        <v>0</v>
      </c>
      <c r="M78" s="168">
        <v>0</v>
      </c>
      <c r="N78" s="213"/>
      <c r="O78" s="213"/>
      <c r="P78" s="466"/>
      <c r="Q78" s="168"/>
      <c r="R78" s="213">
        <v>0</v>
      </c>
      <c r="S78" s="213">
        <v>50</v>
      </c>
      <c r="T78" s="466">
        <v>250</v>
      </c>
      <c r="U78" s="168">
        <v>70</v>
      </c>
      <c r="V78" s="213">
        <v>0</v>
      </c>
      <c r="W78" s="213">
        <v>0</v>
      </c>
      <c r="X78" s="213">
        <v>0</v>
      </c>
      <c r="Y78" s="168">
        <v>0</v>
      </c>
      <c r="Z78" s="213">
        <v>0</v>
      </c>
      <c r="AA78" s="213">
        <v>0</v>
      </c>
      <c r="AB78" s="168">
        <v>0</v>
      </c>
      <c r="AC78" s="168">
        <v>0</v>
      </c>
      <c r="AD78" s="213">
        <v>0</v>
      </c>
      <c r="AE78" s="213"/>
      <c r="AF78" s="213"/>
      <c r="AG78" s="213"/>
      <c r="AH78" s="213"/>
      <c r="AI78" s="213"/>
      <c r="AJ78" s="213"/>
      <c r="AK78" s="213"/>
      <c r="AL78" s="177"/>
      <c r="AM78" s="380">
        <f t="shared" si="16"/>
        <v>0</v>
      </c>
      <c r="AN78" s="380">
        <f t="shared" si="17"/>
        <v>0</v>
      </c>
      <c r="AO78" s="610">
        <f t="shared" si="18"/>
        <v>0</v>
      </c>
      <c r="AP78" s="554" t="e">
        <f t="shared" si="19"/>
        <v>#DIV/0!</v>
      </c>
      <c r="AQ78" s="213"/>
      <c r="AR78" s="179">
        <f t="shared" si="20"/>
        <v>0</v>
      </c>
      <c r="AS78" s="177">
        <f t="shared" si="21"/>
        <v>0</v>
      </c>
      <c r="AT78" s="177"/>
      <c r="AU78" s="177"/>
      <c r="AV78" s="213"/>
      <c r="AW78" s="177"/>
      <c r="AX78" s="177"/>
      <c r="AY78" s="177"/>
      <c r="AZ78" s="358"/>
      <c r="BA78" s="358"/>
      <c r="BB78" s="164"/>
      <c r="BD78" s="3"/>
    </row>
    <row r="79" spans="1:56" ht="12.75" customHeight="1">
      <c r="A79" s="83"/>
      <c r="B79" s="7" t="s">
        <v>71</v>
      </c>
      <c r="C79" s="84"/>
      <c r="D79" s="554"/>
      <c r="E79" s="89"/>
      <c r="F79" s="466"/>
      <c r="G79" s="466"/>
      <c r="H79" s="466"/>
      <c r="I79" s="443">
        <v>0</v>
      </c>
      <c r="J79" s="466">
        <v>0</v>
      </c>
      <c r="K79" s="466">
        <v>0</v>
      </c>
      <c r="L79" s="466">
        <v>0</v>
      </c>
      <c r="M79" s="443">
        <v>0</v>
      </c>
      <c r="N79" s="466"/>
      <c r="O79" s="466"/>
      <c r="P79" s="466"/>
      <c r="Q79" s="443"/>
      <c r="R79" s="466">
        <v>714</v>
      </c>
      <c r="S79" s="466">
        <v>526</v>
      </c>
      <c r="T79" s="466">
        <v>321</v>
      </c>
      <c r="U79" s="443">
        <v>104</v>
      </c>
      <c r="V79" s="466">
        <v>408</v>
      </c>
      <c r="W79" s="466">
        <v>4280</v>
      </c>
      <c r="X79" s="466">
        <v>850</v>
      </c>
      <c r="Y79" s="443">
        <v>1696</v>
      </c>
      <c r="Z79" s="231">
        <v>198</v>
      </c>
      <c r="AA79" s="466">
        <v>-649</v>
      </c>
      <c r="AB79" s="443">
        <v>-226</v>
      </c>
      <c r="AC79" s="443">
        <v>548</v>
      </c>
      <c r="AD79" s="424">
        <v>5363</v>
      </c>
      <c r="AE79" s="148"/>
      <c r="AF79" s="148"/>
      <c r="AG79" s="7"/>
      <c r="AH79" s="148"/>
      <c r="AI79" s="7"/>
      <c r="AJ79" s="7"/>
      <c r="AK79" s="148"/>
      <c r="AL79" s="89"/>
      <c r="AM79" s="380">
        <f t="shared" si="16"/>
        <v>0</v>
      </c>
      <c r="AN79" s="380">
        <f t="shared" si="17"/>
        <v>0</v>
      </c>
      <c r="AO79" s="610">
        <f t="shared" si="18"/>
        <v>0</v>
      </c>
      <c r="AP79" s="554" t="e">
        <f t="shared" si="19"/>
        <v>#DIV/0!</v>
      </c>
      <c r="AQ79" s="148"/>
      <c r="AR79" s="179">
        <f t="shared" si="20"/>
        <v>0</v>
      </c>
      <c r="AS79" s="179">
        <f t="shared" si="21"/>
        <v>0</v>
      </c>
      <c r="AT79" s="179"/>
      <c r="AU79" s="179"/>
      <c r="AV79" s="179"/>
      <c r="AW79" s="174"/>
      <c r="AX79" s="161"/>
      <c r="AY79" s="43"/>
      <c r="AZ79" s="358"/>
      <c r="BA79" s="358"/>
      <c r="BB79" s="164"/>
      <c r="BD79" s="3"/>
    </row>
    <row r="80" spans="1:56" ht="12.75" customHeight="1">
      <c r="A80" s="83"/>
      <c r="B80" s="7" t="s">
        <v>72</v>
      </c>
      <c r="C80" s="84"/>
      <c r="D80" s="45"/>
      <c r="E80" s="89"/>
      <c r="F80" s="466"/>
      <c r="G80" s="466"/>
      <c r="H80" s="466"/>
      <c r="I80" s="443">
        <v>177</v>
      </c>
      <c r="J80" s="466">
        <v>166</v>
      </c>
      <c r="K80" s="466">
        <v>127</v>
      </c>
      <c r="L80" s="466">
        <v>76</v>
      </c>
      <c r="M80" s="443">
        <v>86</v>
      </c>
      <c r="N80" s="466"/>
      <c r="O80" s="466"/>
      <c r="P80" s="466"/>
      <c r="Q80" s="443"/>
      <c r="R80" s="466">
        <v>3221</v>
      </c>
      <c r="S80" s="466">
        <v>2965</v>
      </c>
      <c r="T80" s="466">
        <v>2556</v>
      </c>
      <c r="U80" s="443">
        <v>2302</v>
      </c>
      <c r="V80" s="466">
        <v>2191</v>
      </c>
      <c r="W80" s="466">
        <v>2171</v>
      </c>
      <c r="X80" s="466">
        <v>2224</v>
      </c>
      <c r="Y80" s="443">
        <v>2325</v>
      </c>
      <c r="Z80" s="231">
        <v>6358</v>
      </c>
      <c r="AA80" s="466">
        <v>4010</v>
      </c>
      <c r="AB80" s="443">
        <v>5644</v>
      </c>
      <c r="AC80" s="443">
        <v>5891</v>
      </c>
      <c r="AD80" s="424">
        <v>1512</v>
      </c>
      <c r="AE80" s="148"/>
      <c r="AF80" s="148"/>
      <c r="AG80" s="7"/>
      <c r="AH80" s="148"/>
      <c r="AI80" s="7"/>
      <c r="AJ80" s="7"/>
      <c r="AK80" s="148"/>
      <c r="AL80" s="89"/>
      <c r="AM80" s="380">
        <f t="shared" si="16"/>
        <v>289</v>
      </c>
      <c r="AN80" s="380">
        <f t="shared" si="17"/>
        <v>0</v>
      </c>
      <c r="AO80" s="610">
        <f t="shared" si="18"/>
        <v>455</v>
      </c>
      <c r="AP80" s="45" t="e">
        <f t="shared" si="19"/>
        <v>#DIV/0!</v>
      </c>
      <c r="AQ80" s="148"/>
      <c r="AR80" s="179">
        <f>SUM(J80:M80)</f>
        <v>455</v>
      </c>
      <c r="AS80" s="179">
        <f t="shared" si="21"/>
        <v>0</v>
      </c>
      <c r="AT80" s="179"/>
      <c r="AU80" s="179"/>
      <c r="AV80" s="179"/>
      <c r="AW80" s="174"/>
      <c r="AX80" s="161"/>
      <c r="AY80" s="43"/>
      <c r="AZ80" s="358"/>
      <c r="BA80" s="358"/>
      <c r="BB80" s="164"/>
      <c r="BD80" s="3"/>
    </row>
    <row r="81" spans="1:56" ht="12.75" customHeight="1">
      <c r="A81" s="193"/>
      <c r="B81" s="7" t="s">
        <v>73</v>
      </c>
      <c r="C81" s="84"/>
      <c r="D81" s="45"/>
      <c r="E81" s="608"/>
      <c r="F81" s="474"/>
      <c r="G81" s="474"/>
      <c r="H81" s="474"/>
      <c r="I81" s="427">
        <v>0</v>
      </c>
      <c r="J81" s="474">
        <v>0</v>
      </c>
      <c r="K81" s="474">
        <v>0</v>
      </c>
      <c r="L81" s="474">
        <v>12</v>
      </c>
      <c r="M81" s="427">
        <v>5</v>
      </c>
      <c r="N81" s="466"/>
      <c r="O81" s="466"/>
      <c r="P81" s="474"/>
      <c r="Q81" s="427"/>
      <c r="R81" s="466">
        <v>2742</v>
      </c>
      <c r="S81" s="466">
        <v>369</v>
      </c>
      <c r="T81" s="474">
        <v>408</v>
      </c>
      <c r="U81" s="427">
        <v>333</v>
      </c>
      <c r="V81" s="466">
        <v>3386</v>
      </c>
      <c r="W81" s="466">
        <v>858</v>
      </c>
      <c r="X81" s="474">
        <v>440</v>
      </c>
      <c r="Y81" s="427">
        <v>454</v>
      </c>
      <c r="Z81" s="231">
        <v>680</v>
      </c>
      <c r="AA81" s="474">
        <v>457</v>
      </c>
      <c r="AB81" s="427">
        <v>430</v>
      </c>
      <c r="AC81" s="427">
        <v>377</v>
      </c>
      <c r="AD81" s="426">
        <v>60</v>
      </c>
      <c r="AE81" s="15"/>
      <c r="AF81" s="15"/>
      <c r="AG81" s="15"/>
      <c r="AH81" s="15"/>
      <c r="AI81" s="15"/>
      <c r="AJ81" s="15"/>
      <c r="AK81" s="15"/>
      <c r="AL81" s="89"/>
      <c r="AM81" s="380">
        <f t="shared" si="16"/>
        <v>17</v>
      </c>
      <c r="AN81" s="380">
        <f t="shared" si="17"/>
        <v>0</v>
      </c>
      <c r="AO81" s="611">
        <f t="shared" si="18"/>
        <v>17</v>
      </c>
      <c r="AP81" s="155" t="e">
        <f t="shared" si="19"/>
        <v>#DIV/0!</v>
      </c>
      <c r="AQ81" s="83"/>
      <c r="AR81" s="179">
        <f t="shared" si="20"/>
        <v>17</v>
      </c>
      <c r="AS81" s="198">
        <f t="shared" si="21"/>
        <v>0</v>
      </c>
      <c r="AT81" s="198"/>
      <c r="AU81" s="198"/>
      <c r="AV81" s="198"/>
      <c r="AW81" s="211"/>
      <c r="AX81" s="206"/>
      <c r="AY81" s="160"/>
      <c r="AZ81" s="358"/>
      <c r="BA81" s="358"/>
      <c r="BB81" s="164"/>
      <c r="BD81" s="3"/>
    </row>
    <row r="82" spans="1:56" ht="12.75" customHeight="1">
      <c r="A82" s="193"/>
      <c r="B82" s="7"/>
      <c r="C82" s="578"/>
      <c r="D82" s="579"/>
      <c r="E82" s="24"/>
      <c r="F82" s="383">
        <f aca="true" t="shared" si="22" ref="F82:Q82">SUM(F76:F81)</f>
        <v>0</v>
      </c>
      <c r="G82" s="383">
        <f t="shared" si="22"/>
        <v>0</v>
      </c>
      <c r="H82" s="383">
        <f t="shared" si="22"/>
        <v>0</v>
      </c>
      <c r="I82" s="581">
        <f t="shared" si="22"/>
        <v>755</v>
      </c>
      <c r="J82" s="383">
        <f t="shared" si="22"/>
        <v>1298</v>
      </c>
      <c r="K82" s="383">
        <f t="shared" si="22"/>
        <v>178</v>
      </c>
      <c r="L82" s="383">
        <f t="shared" si="22"/>
        <v>1153</v>
      </c>
      <c r="M82" s="581">
        <f t="shared" si="22"/>
        <v>844</v>
      </c>
      <c r="N82" s="383">
        <f t="shared" si="22"/>
        <v>0</v>
      </c>
      <c r="O82" s="383">
        <f t="shared" si="22"/>
        <v>0</v>
      </c>
      <c r="P82" s="383">
        <f t="shared" si="22"/>
        <v>0</v>
      </c>
      <c r="Q82" s="581">
        <f t="shared" si="22"/>
        <v>0</v>
      </c>
      <c r="R82" s="383">
        <v>72704</v>
      </c>
      <c r="S82" s="383">
        <v>68599</v>
      </c>
      <c r="T82" s="383">
        <v>44539</v>
      </c>
      <c r="U82" s="581">
        <v>47207</v>
      </c>
      <c r="V82" s="383">
        <v>54990</v>
      </c>
      <c r="W82" s="383">
        <v>51733</v>
      </c>
      <c r="X82" s="383">
        <v>40138</v>
      </c>
      <c r="Y82" s="581">
        <v>40185</v>
      </c>
      <c r="Z82" s="382">
        <v>37255</v>
      </c>
      <c r="AA82" s="383">
        <v>33532</v>
      </c>
      <c r="AB82" s="581">
        <v>43844</v>
      </c>
      <c r="AC82" s="581">
        <v>57853</v>
      </c>
      <c r="AD82" s="581">
        <v>104793</v>
      </c>
      <c r="AE82" s="2"/>
      <c r="AF82" s="2"/>
      <c r="AG82" s="2"/>
      <c r="AH82" s="2"/>
      <c r="AI82" s="2"/>
      <c r="AJ82" s="2"/>
      <c r="AK82" s="2"/>
      <c r="AL82" s="24"/>
      <c r="AM82" s="383">
        <f>SUM(AM76:AM81)</f>
        <v>2175</v>
      </c>
      <c r="AN82" s="383">
        <f>SUM(AN76:AN81)</f>
        <v>0</v>
      </c>
      <c r="AO82" s="623">
        <f t="shared" si="18"/>
        <v>3473</v>
      </c>
      <c r="AP82" s="579" t="e">
        <f t="shared" si="19"/>
        <v>#DIV/0!</v>
      </c>
      <c r="AR82" s="382">
        <f>SUM(AR76:AR81)</f>
        <v>3473</v>
      </c>
      <c r="AS82" s="382">
        <f>SUM(AS76:AS81)</f>
        <v>0</v>
      </c>
      <c r="AT82" s="382"/>
      <c r="AU82" s="382"/>
      <c r="AV82" s="580"/>
      <c r="AW82" s="383"/>
      <c r="AX82" s="580"/>
      <c r="AY82" s="173"/>
      <c r="AZ82" s="358"/>
      <c r="BA82" s="358"/>
      <c r="BB82" s="164"/>
      <c r="BD82" s="3"/>
    </row>
    <row r="83" spans="1:56" ht="12.75" customHeight="1">
      <c r="A83" s="7" t="s">
        <v>405</v>
      </c>
      <c r="B83" s="13"/>
      <c r="C83" s="13"/>
      <c r="D83" s="13"/>
      <c r="E83" s="13"/>
      <c r="F83" s="13"/>
      <c r="G83" s="13"/>
      <c r="H83" s="13"/>
      <c r="I83" s="15"/>
      <c r="J83" s="13"/>
      <c r="K83" s="13"/>
      <c r="L83" s="13"/>
      <c r="M83" s="15"/>
      <c r="N83" s="13"/>
      <c r="O83" s="13"/>
      <c r="P83" s="13"/>
      <c r="Q83" s="15"/>
      <c r="R83" s="13"/>
      <c r="S83" s="13"/>
      <c r="T83" s="13"/>
      <c r="U83" s="15"/>
      <c r="V83" s="13"/>
      <c r="W83" s="13"/>
      <c r="X83" s="13"/>
      <c r="Y83" s="15"/>
      <c r="Z83" s="13"/>
      <c r="AA83" s="13"/>
      <c r="AB83" s="13"/>
      <c r="AC83" s="15"/>
      <c r="AD83" s="15"/>
      <c r="AE83" s="15"/>
      <c r="AF83" s="15"/>
      <c r="AG83" s="15"/>
      <c r="AH83" s="15"/>
      <c r="AI83" s="15"/>
      <c r="AJ83" s="15"/>
      <c r="AK83" s="15"/>
      <c r="AL83" s="3"/>
      <c r="AM83" s="3"/>
      <c r="AN83" s="3"/>
      <c r="AO83" s="83"/>
      <c r="AP83" s="83"/>
      <c r="AW83" s="2"/>
      <c r="AX83" s="2"/>
      <c r="BA83" s="3"/>
      <c r="BB83" s="3"/>
      <c r="BD83" s="3"/>
    </row>
    <row r="84" spans="1:56" ht="12.75">
      <c r="A84" s="3"/>
      <c r="B84" s="3"/>
      <c r="C84" s="3"/>
      <c r="D84" s="3"/>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83"/>
      <c r="BA84" s="3"/>
      <c r="BB84" s="3"/>
      <c r="BD84" s="3"/>
    </row>
    <row r="85" spans="9:56" ht="12.75">
      <c r="I85" s="31"/>
      <c r="M85" s="31"/>
      <c r="Q85" s="31"/>
      <c r="U85" s="31"/>
      <c r="Y85" s="31"/>
      <c r="AC85" s="31"/>
      <c r="AK85" s="31"/>
      <c r="AL85" s="3"/>
      <c r="AM85" s="3"/>
      <c r="AN85" s="3"/>
      <c r="AW85" s="31"/>
      <c r="AX85" s="31"/>
      <c r="AY85" s="106"/>
      <c r="AZ85" s="106"/>
      <c r="BA85" s="3"/>
      <c r="BB85" s="3"/>
      <c r="BD85" s="3"/>
    </row>
    <row r="86" spans="9:56" ht="12.75">
      <c r="I86" s="31"/>
      <c r="M86" s="31"/>
      <c r="Q86" s="31"/>
      <c r="U86" s="31"/>
      <c r="Y86" s="31"/>
      <c r="AC86" s="31"/>
      <c r="AK86" s="31"/>
      <c r="AL86" s="3"/>
      <c r="AM86" s="3"/>
      <c r="AN86" s="3"/>
      <c r="AW86" s="31"/>
      <c r="AX86" s="31"/>
      <c r="AY86" s="106"/>
      <c r="AZ86" s="106"/>
      <c r="BA86" s="3"/>
      <c r="BB86" s="3"/>
      <c r="BD86" s="3"/>
    </row>
    <row r="87" spans="9:52" ht="12.75">
      <c r="I87" s="31"/>
      <c r="M87" s="31"/>
      <c r="Q87" s="31"/>
      <c r="U87" s="31"/>
      <c r="Y87" s="31"/>
      <c r="AC87" s="31"/>
      <c r="AK87" s="31"/>
      <c r="AL87" s="3"/>
      <c r="AM87" s="3"/>
      <c r="AN87" s="3"/>
      <c r="AW87" s="31"/>
      <c r="AX87" s="31"/>
      <c r="AZ87" s="106"/>
    </row>
    <row r="88" spans="9:52" ht="12.75">
      <c r="I88" s="31"/>
      <c r="M88" s="31"/>
      <c r="Q88" s="31"/>
      <c r="U88" s="31"/>
      <c r="Y88" s="31"/>
      <c r="AC88" s="31"/>
      <c r="AK88" s="31"/>
      <c r="AL88" s="3"/>
      <c r="AM88" s="3"/>
      <c r="AN88" s="3"/>
      <c r="AW88" s="2"/>
      <c r="AX88" s="2"/>
      <c r="AZ88" s="106"/>
    </row>
    <row r="89" spans="9:52" ht="12.75">
      <c r="I89" s="2"/>
      <c r="M89" s="2"/>
      <c r="Q89" s="2"/>
      <c r="U89" s="2"/>
      <c r="Y89" s="2"/>
      <c r="AC89" s="2"/>
      <c r="AK89" s="150"/>
      <c r="AL89" s="3"/>
      <c r="AM89" s="3"/>
      <c r="AN89" s="3"/>
      <c r="AW89" s="2"/>
      <c r="AX89" s="2"/>
      <c r="AZ89" s="106"/>
    </row>
    <row r="90" spans="9:50" ht="12.75">
      <c r="I90" s="2"/>
      <c r="M90" s="2"/>
      <c r="Q90" s="2"/>
      <c r="U90" s="2"/>
      <c r="Y90" s="2"/>
      <c r="AC90" s="2"/>
      <c r="AK90" s="151"/>
      <c r="AL90" s="3"/>
      <c r="AM90" s="3"/>
      <c r="AN90" s="3"/>
      <c r="AW90" s="2"/>
      <c r="AX90" s="2"/>
    </row>
    <row r="91" spans="9:50" ht="12.75">
      <c r="I91" s="2"/>
      <c r="M91" s="2"/>
      <c r="Q91" s="2"/>
      <c r="U91" s="2"/>
      <c r="Y91" s="2"/>
      <c r="AC91" s="2"/>
      <c r="AK91" s="151"/>
      <c r="AL91" s="3"/>
      <c r="AM91" s="3"/>
      <c r="AN91" s="3"/>
      <c r="AW91" s="32"/>
      <c r="AX91" s="32"/>
    </row>
    <row r="92" spans="5:50" ht="12.75">
      <c r="E92"/>
      <c r="F92"/>
      <c r="G92"/>
      <c r="H92"/>
      <c r="J92"/>
      <c r="K92"/>
      <c r="L92"/>
      <c r="AC92" s="11"/>
      <c r="AD92" s="35"/>
      <c r="AE92" s="35"/>
      <c r="AF92" s="35"/>
      <c r="AG92" s="35"/>
      <c r="AH92" s="35"/>
      <c r="AI92" s="35"/>
      <c r="AJ92" s="35"/>
      <c r="AK92" s="47"/>
      <c r="AL92" s="3"/>
      <c r="AM92" s="3"/>
      <c r="AN92" s="3"/>
      <c r="AW92" s="35"/>
      <c r="AX92" s="35"/>
    </row>
    <row r="93" spans="5:50" ht="12.75">
      <c r="E93"/>
      <c r="F93"/>
      <c r="G93"/>
      <c r="H93"/>
      <c r="J93"/>
      <c r="K93"/>
      <c r="L93"/>
      <c r="AC93" s="11"/>
      <c r="AD93" s="35"/>
      <c r="AE93" s="35"/>
      <c r="AF93" s="35"/>
      <c r="AG93" s="35"/>
      <c r="AH93" s="35"/>
      <c r="AI93" s="35"/>
      <c r="AJ93" s="35"/>
      <c r="AK93" s="41"/>
      <c r="AL93" s="3"/>
      <c r="AM93" s="3"/>
      <c r="AN93" s="3"/>
      <c r="AW93" s="35"/>
      <c r="AX93" s="35"/>
    </row>
    <row r="94" spans="5:50" ht="12.75">
      <c r="E94"/>
      <c r="F94"/>
      <c r="G94"/>
      <c r="H94"/>
      <c r="J94"/>
      <c r="K94"/>
      <c r="L94"/>
      <c r="AC94" s="35"/>
      <c r="AD94" s="35"/>
      <c r="AE94" s="35"/>
      <c r="AF94" s="35"/>
      <c r="AG94" s="35"/>
      <c r="AH94" s="35"/>
      <c r="AI94" s="35"/>
      <c r="AJ94" s="35"/>
      <c r="AK94" s="35"/>
      <c r="AL94" s="3"/>
      <c r="AM94" s="3"/>
      <c r="AN94" s="3"/>
      <c r="AW94" s="36"/>
      <c r="AX94" s="36"/>
    </row>
    <row r="95" spans="5:50" ht="12.75">
      <c r="E95"/>
      <c r="F95"/>
      <c r="G95"/>
      <c r="H95"/>
      <c r="J95"/>
      <c r="K95"/>
      <c r="L95"/>
      <c r="AC95" s="36"/>
      <c r="AD95" s="36"/>
      <c r="AE95" s="36"/>
      <c r="AF95" s="36"/>
      <c r="AG95" s="36"/>
      <c r="AH95" s="36"/>
      <c r="AI95" s="36"/>
      <c r="AJ95" s="36"/>
      <c r="AK95" s="36"/>
      <c r="AL95" s="3"/>
      <c r="AM95" s="3"/>
      <c r="AN95" s="3"/>
      <c r="AW95" s="36"/>
      <c r="AX95" s="36"/>
    </row>
    <row r="96" spans="5:50" ht="12.75">
      <c r="E96"/>
      <c r="F96"/>
      <c r="G96"/>
      <c r="H96"/>
      <c r="J96"/>
      <c r="K96"/>
      <c r="L96"/>
      <c r="AC96" s="36"/>
      <c r="AD96" s="36"/>
      <c r="AE96" s="36"/>
      <c r="AF96" s="36"/>
      <c r="AG96" s="36"/>
      <c r="AH96" s="36"/>
      <c r="AI96" s="36"/>
      <c r="AJ96" s="36"/>
      <c r="AK96" s="36"/>
      <c r="AL96" s="3"/>
      <c r="AM96" s="3"/>
      <c r="AN96" s="3"/>
      <c r="AW96" s="3"/>
      <c r="AX96" s="3"/>
    </row>
    <row r="97" spans="5:50" ht="12.75">
      <c r="E97"/>
      <c r="F97"/>
      <c r="G97"/>
      <c r="H97"/>
      <c r="J97"/>
      <c r="K97"/>
      <c r="L97"/>
      <c r="AC97" s="3"/>
      <c r="AD97" s="3"/>
      <c r="AE97" s="3"/>
      <c r="AF97" s="3"/>
      <c r="AG97" s="3"/>
      <c r="AH97" s="3"/>
      <c r="AI97" s="3"/>
      <c r="AJ97" s="3"/>
      <c r="AK97" s="3"/>
      <c r="AL97" s="3"/>
      <c r="AM97" s="3"/>
      <c r="AN97" s="3"/>
      <c r="AW97" s="3"/>
      <c r="AX97" s="3"/>
    </row>
    <row r="98" spans="5:50" ht="12.75">
      <c r="E98"/>
      <c r="F98"/>
      <c r="G98"/>
      <c r="H98"/>
      <c r="J98"/>
      <c r="K98"/>
      <c r="L98"/>
      <c r="AC98" s="3"/>
      <c r="AD98" s="3"/>
      <c r="AE98" s="3"/>
      <c r="AF98" s="3"/>
      <c r="AG98" s="3"/>
      <c r="AH98" s="3"/>
      <c r="AI98" s="3"/>
      <c r="AJ98" s="3"/>
      <c r="AK98" s="3"/>
      <c r="AL98" s="3"/>
      <c r="AM98" s="3"/>
      <c r="AN98" s="3"/>
      <c r="AW98" s="3"/>
      <c r="AX98" s="3"/>
    </row>
    <row r="99" spans="5:50" ht="12.75">
      <c r="E99"/>
      <c r="F99"/>
      <c r="G99"/>
      <c r="H99"/>
      <c r="J99"/>
      <c r="K99"/>
      <c r="L99"/>
      <c r="AC99" s="3"/>
      <c r="AD99" s="3"/>
      <c r="AE99" s="3"/>
      <c r="AF99" s="3"/>
      <c r="AG99" s="3"/>
      <c r="AH99" s="3"/>
      <c r="AI99" s="3"/>
      <c r="AJ99" s="3"/>
      <c r="AK99" s="3"/>
      <c r="AL99" s="3"/>
      <c r="AM99" s="3"/>
      <c r="AN99" s="3"/>
      <c r="AW99" s="3"/>
      <c r="AX99" s="3"/>
    </row>
    <row r="100" spans="5:50" ht="12.75">
      <c r="E100"/>
      <c r="F100"/>
      <c r="G100"/>
      <c r="H100"/>
      <c r="J100"/>
      <c r="K100"/>
      <c r="L100"/>
      <c r="AC100" s="3"/>
      <c r="AD100" s="3"/>
      <c r="AE100" s="3"/>
      <c r="AF100" s="3"/>
      <c r="AG100" s="3"/>
      <c r="AH100" s="3"/>
      <c r="AI100" s="3"/>
      <c r="AJ100" s="3"/>
      <c r="AK100" s="3"/>
      <c r="AL100" s="3"/>
      <c r="AM100" s="3"/>
      <c r="AN100" s="3"/>
      <c r="AW100" s="3"/>
      <c r="AX100" s="3"/>
    </row>
    <row r="101" spans="5:40" ht="12.75">
      <c r="E101"/>
      <c r="F101"/>
      <c r="G101"/>
      <c r="H101"/>
      <c r="J101"/>
      <c r="K101"/>
      <c r="L101"/>
      <c r="AC101" s="3"/>
      <c r="AD101" s="3"/>
      <c r="AE101" s="3"/>
      <c r="AF101" s="3"/>
      <c r="AG101" s="3"/>
      <c r="AH101" s="3"/>
      <c r="AI101" s="3"/>
      <c r="AJ101" s="3"/>
      <c r="AK101" s="3"/>
      <c r="AL101" s="3"/>
      <c r="AM101" s="3"/>
      <c r="AN101" s="3"/>
    </row>
  </sheetData>
  <sheetProtection/>
  <mergeCells count="10">
    <mergeCell ref="C10:D10"/>
    <mergeCell ref="C11:D11"/>
    <mergeCell ref="AO11:AP11"/>
    <mergeCell ref="A32:B32"/>
    <mergeCell ref="C62:D62"/>
    <mergeCell ref="C63:D63"/>
    <mergeCell ref="AO63:AP63"/>
    <mergeCell ref="C74:D74"/>
    <mergeCell ref="C75:D75"/>
    <mergeCell ref="AO75:AP75"/>
  </mergeCells>
  <conditionalFormatting sqref="A73 AD69:AK72 A81:A82 AU69:AX72 AS72:AT72 A60:A61 AV49:AZ49 AV41:AX48 A44:A47 A50 AS41:AU50 A40 B40:B55 AS55:AW55 N55:U55 AM41:AN49 J41:AK49 AR42:AR49 F42:I49">
    <cfRule type="cellIs" priority="3" dxfId="0" operator="equal" stopIfTrue="1">
      <formula>0</formula>
    </cfRule>
  </conditionalFormatting>
  <conditionalFormatting sqref="AR72 AR41 AR55 AR50">
    <cfRule type="cellIs" priority="2" dxfId="0" operator="equal" stopIfTrue="1">
      <formula>0</formula>
    </cfRule>
  </conditionalFormatting>
  <conditionalFormatting sqref="F41:I4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5" r:id="rId2"/>
  <headerFooter alignWithMargins="0">
    <oddFooter>&amp;L&amp;F&amp;CPage 4</oddFooter>
  </headerFooter>
  <colBreaks count="1" manualBreakCount="1">
    <brk id="51" max="72"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5:BI90"/>
  <sheetViews>
    <sheetView zoomScale="60" zoomScaleNormal="60" zoomScaleSheetLayoutView="90" workbookViewId="0" topLeftCell="A1">
      <selection activeCell="A1" sqref="A1"/>
    </sheetView>
  </sheetViews>
  <sheetFormatPr defaultColWidth="9.140625" defaultRowHeight="12.75"/>
  <cols>
    <col min="1" max="1" width="2.7109375" style="0" customWidth="1"/>
    <col min="2" max="2" width="40.57421875" style="0" customWidth="1"/>
    <col min="3" max="3" width="9.57421875" style="0" customWidth="1"/>
    <col min="4" max="4" width="9.7109375" style="0" customWidth="1"/>
    <col min="5" max="5" width="1.57421875" style="3" customWidth="1"/>
    <col min="6" max="6" width="9.28125" style="3" hidden="1" customWidth="1"/>
    <col min="7" max="15" width="9.28125" style="3" customWidth="1"/>
    <col min="16" max="24" width="9.28125" style="3" hidden="1" customWidth="1"/>
    <col min="25" max="25" width="7.7109375" style="3" hidden="1" customWidth="1"/>
    <col min="26" max="28" width="7.8515625" style="3" hidden="1" customWidth="1"/>
    <col min="29" max="29" width="7.8515625" style="0" hidden="1" customWidth="1"/>
    <col min="30" max="30" width="8.00390625" style="0" hidden="1" customWidth="1"/>
    <col min="31" max="31" width="7.57421875" style="0" hidden="1" customWidth="1"/>
    <col min="32" max="34" width="7.00390625" style="0" hidden="1" customWidth="1"/>
    <col min="35" max="37" width="7.57421875" style="0" hidden="1" customWidth="1"/>
    <col min="38" max="38" width="1.57421875" style="0" customWidth="1"/>
    <col min="39" max="42" width="10.421875" style="0" customWidth="1"/>
    <col min="43" max="43" width="1.57421875" style="0" customWidth="1"/>
    <col min="44" max="48" width="9.7109375" style="0" customWidth="1"/>
    <col min="49" max="53" width="9.7109375" style="0" hidden="1" customWidth="1"/>
    <col min="54" max="54" width="1.57421875" style="0" customWidth="1"/>
  </cols>
  <sheetData>
    <row r="1" ht="12.75"/>
    <row r="2" ht="12.75"/>
    <row r="3" ht="12.75"/>
    <row r="4" ht="12.75"/>
    <row r="5" spans="1:31" ht="12.75">
      <c r="A5" s="3"/>
      <c r="B5" s="3"/>
      <c r="C5" s="3"/>
      <c r="D5" s="3"/>
      <c r="AC5" s="3"/>
      <c r="AD5" s="3"/>
      <c r="AE5" s="3"/>
    </row>
    <row r="6" spans="1:31" ht="18" customHeight="1">
      <c r="A6" s="134" t="s">
        <v>102</v>
      </c>
      <c r="B6" s="3"/>
      <c r="C6" s="3"/>
      <c r="D6" s="3"/>
      <c r="F6" s="896"/>
      <c r="G6" s="896"/>
      <c r="J6" s="896"/>
      <c r="K6" s="896"/>
      <c r="AC6" s="3"/>
      <c r="AD6" s="3"/>
      <c r="AE6" s="3"/>
    </row>
    <row r="7" spans="1:31" ht="18" customHeight="1">
      <c r="A7" s="134" t="s">
        <v>488</v>
      </c>
      <c r="B7" s="3"/>
      <c r="C7" s="3"/>
      <c r="D7" s="3"/>
      <c r="AC7" s="3"/>
      <c r="AD7" s="3"/>
      <c r="AE7" s="3"/>
    </row>
    <row r="8" spans="1:53" ht="9.75" customHeight="1">
      <c r="A8" s="2"/>
      <c r="B8" s="2"/>
      <c r="C8" s="2"/>
      <c r="D8" s="2"/>
      <c r="E8" s="2"/>
      <c r="F8" s="2"/>
      <c r="G8" s="2"/>
      <c r="H8" s="2"/>
      <c r="I8" s="2"/>
      <c r="J8" s="2"/>
      <c r="K8" s="2"/>
      <c r="L8" s="2"/>
      <c r="M8" s="2"/>
      <c r="N8" s="491"/>
      <c r="O8" s="2"/>
      <c r="P8" s="2"/>
      <c r="Q8" s="2"/>
      <c r="R8" s="491"/>
      <c r="S8" s="2"/>
      <c r="T8" s="491"/>
      <c r="U8" s="2"/>
      <c r="V8" s="491"/>
      <c r="W8" s="2"/>
      <c r="X8" s="491"/>
      <c r="Y8" s="2"/>
      <c r="Z8" s="491"/>
      <c r="AA8" s="2"/>
      <c r="AB8" s="2"/>
      <c r="AC8" s="3"/>
      <c r="AD8" s="3"/>
      <c r="AE8" s="3"/>
      <c r="AO8" s="626"/>
      <c r="AP8" s="626"/>
      <c r="AY8" s="3"/>
      <c r="AZ8" s="3"/>
      <c r="BA8" s="3"/>
    </row>
    <row r="9" spans="1:54" ht="12.75">
      <c r="A9" s="6" t="s">
        <v>1</v>
      </c>
      <c r="B9" s="7"/>
      <c r="C9" s="1437" t="s">
        <v>497</v>
      </c>
      <c r="D9" s="1438"/>
      <c r="E9" s="259"/>
      <c r="F9" s="477"/>
      <c r="G9" s="477"/>
      <c r="H9" s="477"/>
      <c r="I9" s="19"/>
      <c r="J9" s="477"/>
      <c r="K9" s="477"/>
      <c r="L9" s="477"/>
      <c r="M9" s="19"/>
      <c r="N9" s="17"/>
      <c r="O9" s="18"/>
      <c r="P9" s="477"/>
      <c r="Q9" s="19"/>
      <c r="R9" s="17"/>
      <c r="S9" s="18"/>
      <c r="T9" s="477"/>
      <c r="U9" s="19"/>
      <c r="W9" s="18"/>
      <c r="X9" s="2"/>
      <c r="Y9" s="19"/>
      <c r="Z9" s="18"/>
      <c r="AB9" s="477"/>
      <c r="AC9" s="19"/>
      <c r="AD9" s="18"/>
      <c r="AE9" s="18"/>
      <c r="AF9" s="18"/>
      <c r="AG9" s="18"/>
      <c r="AH9" s="22"/>
      <c r="AI9" s="19"/>
      <c r="AJ9" s="19"/>
      <c r="AK9" s="19"/>
      <c r="AL9" s="24"/>
      <c r="AM9" s="725" t="s">
        <v>406</v>
      </c>
      <c r="AN9" s="711"/>
      <c r="AO9" s="711" t="s">
        <v>480</v>
      </c>
      <c r="AP9" s="712"/>
      <c r="AQ9" s="15"/>
      <c r="AR9" s="88"/>
      <c r="AS9" s="88"/>
      <c r="AT9" s="88"/>
      <c r="AU9" s="88"/>
      <c r="AV9" s="88"/>
      <c r="AW9" s="22"/>
      <c r="AX9" s="22"/>
      <c r="AY9" s="88"/>
      <c r="AZ9" s="88"/>
      <c r="BA9" s="88"/>
      <c r="BB9" s="25"/>
    </row>
    <row r="10" spans="1:61" ht="13.5">
      <c r="A10" s="6" t="s">
        <v>2</v>
      </c>
      <c r="B10" s="7"/>
      <c r="C10" s="1439" t="s">
        <v>41</v>
      </c>
      <c r="D10" s="1440"/>
      <c r="E10" s="603"/>
      <c r="F10" s="21" t="s">
        <v>431</v>
      </c>
      <c r="G10" s="21" t="s">
        <v>430</v>
      </c>
      <c r="H10" s="21" t="s">
        <v>429</v>
      </c>
      <c r="I10" s="14" t="s">
        <v>427</v>
      </c>
      <c r="J10" s="21" t="s">
        <v>362</v>
      </c>
      <c r="K10" s="21" t="s">
        <v>363</v>
      </c>
      <c r="L10" s="21" t="s">
        <v>364</v>
      </c>
      <c r="M10" s="14" t="s">
        <v>365</v>
      </c>
      <c r="N10" s="20" t="s">
        <v>277</v>
      </c>
      <c r="O10" s="21" t="s">
        <v>278</v>
      </c>
      <c r="P10" s="21" t="s">
        <v>279</v>
      </c>
      <c r="Q10" s="14" t="s">
        <v>276</v>
      </c>
      <c r="R10" s="20" t="s">
        <v>222</v>
      </c>
      <c r="S10" s="21" t="s">
        <v>223</v>
      </c>
      <c r="T10" s="21" t="s">
        <v>224</v>
      </c>
      <c r="U10" s="14" t="s">
        <v>225</v>
      </c>
      <c r="V10" s="21" t="s">
        <v>141</v>
      </c>
      <c r="W10" s="21" t="s">
        <v>140</v>
      </c>
      <c r="X10" s="21" t="s">
        <v>139</v>
      </c>
      <c r="Y10" s="14" t="s">
        <v>138</v>
      </c>
      <c r="Z10" s="21" t="s">
        <v>91</v>
      </c>
      <c r="AA10" s="21" t="s">
        <v>92</v>
      </c>
      <c r="AB10" s="21" t="s">
        <v>93</v>
      </c>
      <c r="AC10" s="14" t="s">
        <v>32</v>
      </c>
      <c r="AD10" s="21" t="s">
        <v>33</v>
      </c>
      <c r="AE10" s="21" t="s">
        <v>34</v>
      </c>
      <c r="AF10" s="21" t="s">
        <v>35</v>
      </c>
      <c r="AG10" s="21" t="s">
        <v>36</v>
      </c>
      <c r="AH10" s="23" t="s">
        <v>37</v>
      </c>
      <c r="AI10" s="14" t="s">
        <v>38</v>
      </c>
      <c r="AJ10" s="14" t="s">
        <v>39</v>
      </c>
      <c r="AK10" s="14" t="s">
        <v>40</v>
      </c>
      <c r="AL10" s="259"/>
      <c r="AM10" s="21" t="s">
        <v>430</v>
      </c>
      <c r="AN10" s="21" t="s">
        <v>363</v>
      </c>
      <c r="AO10" s="1454" t="s">
        <v>41</v>
      </c>
      <c r="AP10" s="1440"/>
      <c r="AQ10" s="16"/>
      <c r="AR10" s="20" t="s">
        <v>367</v>
      </c>
      <c r="AS10" s="20" t="s">
        <v>285</v>
      </c>
      <c r="AT10" s="20" t="s">
        <v>143</v>
      </c>
      <c r="AU10" s="20" t="s">
        <v>142</v>
      </c>
      <c r="AV10" s="20" t="s">
        <v>45</v>
      </c>
      <c r="AW10" s="23" t="s">
        <v>42</v>
      </c>
      <c r="AX10" s="23" t="s">
        <v>43</v>
      </c>
      <c r="AY10" s="23" t="s">
        <v>165</v>
      </c>
      <c r="AZ10" s="23" t="s">
        <v>166</v>
      </c>
      <c r="BA10" s="23" t="s">
        <v>167</v>
      </c>
      <c r="BB10" s="25"/>
      <c r="BC10" s="3"/>
      <c r="BD10" s="3"/>
      <c r="BG10" s="3"/>
      <c r="BH10" s="3"/>
      <c r="BI10" s="3"/>
    </row>
    <row r="11" spans="1:61" ht="12.75">
      <c r="A11" s="6"/>
      <c r="B11" s="7"/>
      <c r="C11" s="693"/>
      <c r="D11" s="695"/>
      <c r="E11" s="603"/>
      <c r="F11" s="697" t="s">
        <v>307</v>
      </c>
      <c r="G11" s="697" t="s">
        <v>307</v>
      </c>
      <c r="H11" s="697" t="s">
        <v>307</v>
      </c>
      <c r="I11" s="698" t="s">
        <v>307</v>
      </c>
      <c r="J11" s="697" t="s">
        <v>307</v>
      </c>
      <c r="K11" s="697" t="s">
        <v>307</v>
      </c>
      <c r="L11" s="697" t="s">
        <v>307</v>
      </c>
      <c r="M11" s="698" t="s">
        <v>307</v>
      </c>
      <c r="N11" s="696" t="s">
        <v>307</v>
      </c>
      <c r="O11" s="697" t="s">
        <v>307</v>
      </c>
      <c r="P11" s="697" t="s">
        <v>307</v>
      </c>
      <c r="Q11" s="698" t="s">
        <v>307</v>
      </c>
      <c r="R11" s="696" t="s">
        <v>307</v>
      </c>
      <c r="S11" s="697" t="s">
        <v>307</v>
      </c>
      <c r="T11" s="697" t="s">
        <v>307</v>
      </c>
      <c r="U11" s="698" t="s">
        <v>307</v>
      </c>
      <c r="V11" s="696" t="s">
        <v>308</v>
      </c>
      <c r="W11" s="697" t="s">
        <v>308</v>
      </c>
      <c r="X11" s="698" t="s">
        <v>308</v>
      </c>
      <c r="Y11" s="698" t="s">
        <v>308</v>
      </c>
      <c r="Z11" s="15"/>
      <c r="AA11" s="15"/>
      <c r="AB11" s="15"/>
      <c r="AC11" s="233"/>
      <c r="AD11" s="15"/>
      <c r="AE11" s="15"/>
      <c r="AF11" s="15"/>
      <c r="AG11" s="15"/>
      <c r="AH11" s="259"/>
      <c r="AI11" s="233"/>
      <c r="AJ11" s="233"/>
      <c r="AK11" s="233"/>
      <c r="AL11" s="259"/>
      <c r="AM11" s="696" t="s">
        <v>307</v>
      </c>
      <c r="AN11" s="697" t="s">
        <v>307</v>
      </c>
      <c r="AO11" s="713"/>
      <c r="AP11" s="714"/>
      <c r="AQ11" s="16"/>
      <c r="AR11" s="696" t="s">
        <v>307</v>
      </c>
      <c r="AS11" s="696" t="s">
        <v>307</v>
      </c>
      <c r="AT11" s="696" t="s">
        <v>307</v>
      </c>
      <c r="AU11" s="696" t="s">
        <v>308</v>
      </c>
      <c r="AV11" s="696" t="s">
        <v>308</v>
      </c>
      <c r="AW11" s="699" t="s">
        <v>308</v>
      </c>
      <c r="AX11" s="699" t="s">
        <v>308</v>
      </c>
      <c r="AY11" s="259"/>
      <c r="AZ11" s="259"/>
      <c r="BA11" s="259"/>
      <c r="BB11" s="25"/>
      <c r="BC11" s="3"/>
      <c r="BD11" s="3"/>
      <c r="BG11" s="3"/>
      <c r="BH11" s="3"/>
      <c r="BI11" s="3"/>
    </row>
    <row r="12" spans="1:59" ht="12.75" customHeight="1">
      <c r="A12" s="142" t="s">
        <v>68</v>
      </c>
      <c r="B12" s="8"/>
      <c r="C12" s="164"/>
      <c r="D12" s="166"/>
      <c r="E12" s="89"/>
      <c r="F12" s="195"/>
      <c r="G12" s="195"/>
      <c r="H12" s="195"/>
      <c r="I12" s="166"/>
      <c r="J12" s="195"/>
      <c r="K12" s="195"/>
      <c r="L12" s="195"/>
      <c r="M12" s="166"/>
      <c r="N12" s="148"/>
      <c r="O12" s="195"/>
      <c r="P12" s="195"/>
      <c r="Q12" s="166"/>
      <c r="R12" s="148"/>
      <c r="S12" s="195"/>
      <c r="T12" s="7"/>
      <c r="U12" s="166"/>
      <c r="V12" s="148"/>
      <c r="W12" s="195"/>
      <c r="X12" s="479"/>
      <c r="Y12" s="166"/>
      <c r="Z12" s="148"/>
      <c r="AA12" s="195"/>
      <c r="AB12" s="148"/>
      <c r="AC12" s="166"/>
      <c r="AD12" s="195"/>
      <c r="AE12" s="148"/>
      <c r="AF12" s="148"/>
      <c r="AH12" s="22"/>
      <c r="AI12" s="26"/>
      <c r="AJ12" s="26"/>
      <c r="AK12" s="18"/>
      <c r="AL12" s="89"/>
      <c r="AM12" s="148"/>
      <c r="AN12" s="148"/>
      <c r="AO12" s="148"/>
      <c r="AP12" s="166"/>
      <c r="AQ12" s="83"/>
      <c r="AR12" s="89"/>
      <c r="AS12" s="89"/>
      <c r="AT12" s="89"/>
      <c r="AU12" s="89"/>
      <c r="AV12" s="89"/>
      <c r="AW12" s="89"/>
      <c r="AX12" s="194"/>
      <c r="AY12" s="368"/>
      <c r="AZ12" s="368"/>
      <c r="BA12" s="368"/>
      <c r="BB12" s="25"/>
      <c r="BC12" s="3"/>
      <c r="BD12" s="3"/>
      <c r="BG12" s="3"/>
    </row>
    <row r="13" spans="1:59" ht="12.75" customHeight="1">
      <c r="A13" s="7"/>
      <c r="B13" s="227" t="s">
        <v>94</v>
      </c>
      <c r="C13" s="38">
        <v>453</v>
      </c>
      <c r="D13" s="30">
        <v>0.09988974641675855</v>
      </c>
      <c r="E13" s="592"/>
      <c r="F13" s="475"/>
      <c r="G13" s="475">
        <v>4988</v>
      </c>
      <c r="H13" s="475">
        <v>6372</v>
      </c>
      <c r="I13" s="216">
        <v>2205</v>
      </c>
      <c r="J13" s="475">
        <v>5045</v>
      </c>
      <c r="K13" s="475">
        <v>4535</v>
      </c>
      <c r="L13" s="475">
        <v>10003</v>
      </c>
      <c r="M13" s="216">
        <v>4894</v>
      </c>
      <c r="N13" s="465">
        <v>10101</v>
      </c>
      <c r="O13" s="475">
        <v>9737</v>
      </c>
      <c r="P13" s="475">
        <v>2636</v>
      </c>
      <c r="Q13" s="216">
        <v>7623</v>
      </c>
      <c r="R13" s="465">
        <v>11120</v>
      </c>
      <c r="S13" s="475">
        <v>8477</v>
      </c>
      <c r="T13" s="465">
        <v>7783</v>
      </c>
      <c r="U13" s="216">
        <v>4558</v>
      </c>
      <c r="V13" s="465">
        <v>4647</v>
      </c>
      <c r="W13" s="475">
        <v>5374</v>
      </c>
      <c r="X13" s="298">
        <v>5131</v>
      </c>
      <c r="Y13" s="216">
        <v>11781</v>
      </c>
      <c r="Z13" s="465">
        <v>4769</v>
      </c>
      <c r="AA13" s="475">
        <v>4406</v>
      </c>
      <c r="AB13" s="475">
        <v>8649</v>
      </c>
      <c r="AC13" s="216">
        <v>10062</v>
      </c>
      <c r="AD13" s="213">
        <v>11018</v>
      </c>
      <c r="AE13" s="396">
        <v>12605</v>
      </c>
      <c r="AF13" s="396">
        <v>12383</v>
      </c>
      <c r="AG13" s="168">
        <v>14764</v>
      </c>
      <c r="AH13" s="177">
        <v>10416</v>
      </c>
      <c r="AI13" s="168">
        <v>8017</v>
      </c>
      <c r="AJ13" s="168">
        <v>6975</v>
      </c>
      <c r="AK13" s="213">
        <v>8665</v>
      </c>
      <c r="AL13" s="89"/>
      <c r="AM13" s="380">
        <v>13565</v>
      </c>
      <c r="AN13" s="380">
        <v>19432</v>
      </c>
      <c r="AO13" s="31">
        <v>-5867</v>
      </c>
      <c r="AP13" s="30">
        <v>-0.3019246603540552</v>
      </c>
      <c r="AQ13" s="83"/>
      <c r="AR13" s="201">
        <v>24477</v>
      </c>
      <c r="AS13" s="201">
        <v>30097</v>
      </c>
      <c r="AT13" s="201">
        <v>31938</v>
      </c>
      <c r="AU13" s="201">
        <v>26933</v>
      </c>
      <c r="AV13" s="201">
        <v>27886</v>
      </c>
      <c r="AW13" s="201">
        <v>50770</v>
      </c>
      <c r="AX13" s="201">
        <v>34578</v>
      </c>
      <c r="AY13" s="85">
        <v>24555</v>
      </c>
      <c r="AZ13" s="85">
        <v>14948</v>
      </c>
      <c r="BA13" s="85">
        <v>14416</v>
      </c>
      <c r="BB13" s="3"/>
      <c r="BC13" s="3"/>
      <c r="BD13" s="3"/>
      <c r="BG13" s="3"/>
    </row>
    <row r="14" spans="1:59" ht="12.75" customHeight="1" hidden="1">
      <c r="A14" s="7"/>
      <c r="B14" s="227" t="s">
        <v>179</v>
      </c>
      <c r="C14" s="38">
        <v>0</v>
      </c>
      <c r="D14" s="30">
        <v>0</v>
      </c>
      <c r="E14" s="592"/>
      <c r="F14" s="465"/>
      <c r="G14" s="465"/>
      <c r="H14" s="465"/>
      <c r="I14" s="216"/>
      <c r="J14" s="465"/>
      <c r="K14" s="465"/>
      <c r="L14" s="465"/>
      <c r="M14" s="216"/>
      <c r="N14" s="465"/>
      <c r="O14" s="465"/>
      <c r="P14" s="465"/>
      <c r="Q14" s="216"/>
      <c r="R14" s="465"/>
      <c r="S14" s="465"/>
      <c r="T14" s="465"/>
      <c r="U14" s="216"/>
      <c r="V14" s="465"/>
      <c r="W14" s="465"/>
      <c r="X14" s="298"/>
      <c r="Y14" s="216"/>
      <c r="Z14" s="465">
        <v>10</v>
      </c>
      <c r="AA14" s="465">
        <v>53</v>
      </c>
      <c r="AB14" s="465">
        <v>25</v>
      </c>
      <c r="AC14" s="216">
        <v>20</v>
      </c>
      <c r="AD14" s="212">
        <v>27</v>
      </c>
      <c r="AE14" s="212">
        <v>28</v>
      </c>
      <c r="AF14" s="212">
        <v>83</v>
      </c>
      <c r="AG14" s="213">
        <v>48</v>
      </c>
      <c r="AH14" s="177">
        <v>81</v>
      </c>
      <c r="AI14" s="168">
        <v>38</v>
      </c>
      <c r="AJ14" s="168">
        <v>397</v>
      </c>
      <c r="AK14" s="213">
        <v>70</v>
      </c>
      <c r="AL14" s="89"/>
      <c r="AM14" s="148"/>
      <c r="AN14" s="148"/>
      <c r="AO14" s="31">
        <v>0</v>
      </c>
      <c r="AP14" s="30" t="e">
        <v>#DIV/0!</v>
      </c>
      <c r="AQ14" s="83"/>
      <c r="AR14" s="201"/>
      <c r="AS14" s="201"/>
      <c r="AT14" s="201">
        <v>0</v>
      </c>
      <c r="AU14" s="201"/>
      <c r="AV14" s="201">
        <v>108</v>
      </c>
      <c r="AW14" s="201">
        <v>186</v>
      </c>
      <c r="AX14" s="201">
        <v>586</v>
      </c>
      <c r="AY14" s="85">
        <v>75</v>
      </c>
      <c r="AZ14" s="156">
        <v>0</v>
      </c>
      <c r="BA14" s="156">
        <v>0</v>
      </c>
      <c r="BB14" s="3"/>
      <c r="BC14" s="3"/>
      <c r="BD14" s="3"/>
      <c r="BG14" s="3"/>
    </row>
    <row r="15" spans="1:59" ht="12.75" customHeight="1">
      <c r="A15" s="8"/>
      <c r="B15" s="7"/>
      <c r="C15" s="169">
        <v>453</v>
      </c>
      <c r="D15" s="170">
        <v>0.09988974641675855</v>
      </c>
      <c r="E15" s="592"/>
      <c r="F15" s="218">
        <v>0</v>
      </c>
      <c r="G15" s="218">
        <v>4988</v>
      </c>
      <c r="H15" s="218">
        <v>6372</v>
      </c>
      <c r="I15" s="221">
        <v>2205</v>
      </c>
      <c r="J15" s="218">
        <v>5045</v>
      </c>
      <c r="K15" s="218">
        <v>4535</v>
      </c>
      <c r="L15" s="218">
        <v>10003</v>
      </c>
      <c r="M15" s="221">
        <v>4894</v>
      </c>
      <c r="N15" s="220">
        <v>10101</v>
      </c>
      <c r="O15" s="218">
        <v>9737</v>
      </c>
      <c r="P15" s="218">
        <v>2636</v>
      </c>
      <c r="Q15" s="221">
        <v>7623</v>
      </c>
      <c r="R15" s="220">
        <v>11120</v>
      </c>
      <c r="S15" s="218">
        <v>8477</v>
      </c>
      <c r="T15" s="220">
        <v>7783</v>
      </c>
      <c r="U15" s="221">
        <v>4558</v>
      </c>
      <c r="V15" s="220">
        <v>4647</v>
      </c>
      <c r="W15" s="218">
        <v>5374</v>
      </c>
      <c r="X15" s="221">
        <v>5131</v>
      </c>
      <c r="Y15" s="221">
        <v>11781</v>
      </c>
      <c r="Z15" s="220">
        <v>4769</v>
      </c>
      <c r="AA15" s="218">
        <v>4406</v>
      </c>
      <c r="AB15" s="218">
        <v>8649</v>
      </c>
      <c r="AC15" s="220">
        <v>10062</v>
      </c>
      <c r="AD15" s="178">
        <v>11018</v>
      </c>
      <c r="AE15" s="218">
        <v>12605</v>
      </c>
      <c r="AF15" s="218">
        <v>12383</v>
      </c>
      <c r="AG15" s="220">
        <v>14764</v>
      </c>
      <c r="AH15" s="178">
        <v>10416</v>
      </c>
      <c r="AI15" s="221">
        <v>8055</v>
      </c>
      <c r="AJ15" s="221">
        <v>7372</v>
      </c>
      <c r="AK15" s="220">
        <v>8735</v>
      </c>
      <c r="AL15" s="161"/>
      <c r="AM15" s="220">
        <v>13565</v>
      </c>
      <c r="AN15" s="220">
        <v>19432</v>
      </c>
      <c r="AO15" s="389">
        <v>-5867</v>
      </c>
      <c r="AP15" s="170">
        <v>-0.3019246603540552</v>
      </c>
      <c r="AQ15" s="83"/>
      <c r="AR15" s="178">
        <v>24477</v>
      </c>
      <c r="AS15" s="178">
        <v>30097</v>
      </c>
      <c r="AT15" s="178">
        <v>31938</v>
      </c>
      <c r="AU15" s="178">
        <v>26933</v>
      </c>
      <c r="AV15" s="178">
        <v>27886</v>
      </c>
      <c r="AW15" s="171">
        <v>50770</v>
      </c>
      <c r="AX15" s="171">
        <v>34578</v>
      </c>
      <c r="AY15" s="171">
        <v>24555</v>
      </c>
      <c r="AZ15" s="171">
        <v>14948</v>
      </c>
      <c r="BA15" s="369">
        <v>4749</v>
      </c>
      <c r="BB15" s="25"/>
      <c r="BC15" s="3"/>
      <c r="BD15" s="3"/>
      <c r="BG15" s="3"/>
    </row>
    <row r="16" spans="1:59" ht="12.75" customHeight="1">
      <c r="A16" s="142" t="s">
        <v>5</v>
      </c>
      <c r="B16" s="7"/>
      <c r="C16" s="38"/>
      <c r="D16" s="30"/>
      <c r="E16" s="592"/>
      <c r="F16" s="465"/>
      <c r="G16" s="465"/>
      <c r="H16" s="465"/>
      <c r="I16" s="216"/>
      <c r="J16" s="465"/>
      <c r="K16" s="465"/>
      <c r="L16" s="465"/>
      <c r="M16" s="216"/>
      <c r="N16" s="465"/>
      <c r="O16" s="465"/>
      <c r="P16" s="465"/>
      <c r="Q16" s="216"/>
      <c r="R16" s="465"/>
      <c r="S16" s="465"/>
      <c r="T16" s="465"/>
      <c r="U16" s="216"/>
      <c r="V16" s="465"/>
      <c r="W16" s="465"/>
      <c r="X16" s="298"/>
      <c r="Y16" s="216"/>
      <c r="Z16" s="465"/>
      <c r="AA16" s="465"/>
      <c r="AB16" s="465"/>
      <c r="AC16" s="216"/>
      <c r="AD16" s="212"/>
      <c r="AE16" s="212"/>
      <c r="AF16" s="212"/>
      <c r="AG16" s="212"/>
      <c r="AH16" s="161"/>
      <c r="AI16" s="216"/>
      <c r="AJ16" s="216"/>
      <c r="AK16" s="212"/>
      <c r="AL16" s="89"/>
      <c r="AM16" s="148"/>
      <c r="AN16" s="148"/>
      <c r="AO16" s="31"/>
      <c r="AP16" s="30"/>
      <c r="AQ16" s="83"/>
      <c r="AR16" s="351"/>
      <c r="AS16" s="351"/>
      <c r="AT16" s="351"/>
      <c r="AU16" s="351"/>
      <c r="AV16" s="351"/>
      <c r="AW16" s="201"/>
      <c r="AX16" s="201"/>
      <c r="AY16" s="85"/>
      <c r="AZ16" s="85"/>
      <c r="BA16" s="85"/>
      <c r="BB16" s="3"/>
      <c r="BC16" s="3"/>
      <c r="BD16" s="3"/>
      <c r="BG16" s="3"/>
    </row>
    <row r="17" spans="1:59" ht="12.75" customHeight="1">
      <c r="A17" s="142"/>
      <c r="B17" s="7" t="s">
        <v>399</v>
      </c>
      <c r="C17" s="38">
        <v>935</v>
      </c>
      <c r="D17" s="30">
        <v>0.413716814159292</v>
      </c>
      <c r="E17" s="592"/>
      <c r="F17" s="465"/>
      <c r="G17" s="465">
        <v>3195</v>
      </c>
      <c r="H17" s="621">
        <v>866</v>
      </c>
      <c r="I17" s="762">
        <v>776</v>
      </c>
      <c r="J17" s="621">
        <v>2137</v>
      </c>
      <c r="K17" s="621">
        <v>2260</v>
      </c>
      <c r="L17" s="621">
        <v>97</v>
      </c>
      <c r="M17" s="762">
        <v>219</v>
      </c>
      <c r="N17" s="621">
        <v>2591</v>
      </c>
      <c r="O17" s="621">
        <v>1870</v>
      </c>
      <c r="P17" s="621">
        <v>10</v>
      </c>
      <c r="Q17" s="762">
        <v>2877</v>
      </c>
      <c r="R17" s="621">
        <v>8396</v>
      </c>
      <c r="S17" s="621">
        <v>9070</v>
      </c>
      <c r="T17" s="621">
        <v>2498</v>
      </c>
      <c r="U17" s="762"/>
      <c r="V17" s="621"/>
      <c r="W17" s="621"/>
      <c r="X17" s="618"/>
      <c r="Y17" s="762"/>
      <c r="Z17" s="621"/>
      <c r="AA17" s="621"/>
      <c r="AB17" s="621"/>
      <c r="AC17" s="762"/>
      <c r="AD17" s="488"/>
      <c r="AE17" s="488"/>
      <c r="AF17" s="488"/>
      <c r="AG17" s="488"/>
      <c r="AH17" s="763"/>
      <c r="AI17" s="762"/>
      <c r="AJ17" s="762"/>
      <c r="AK17" s="488"/>
      <c r="AL17" s="662"/>
      <c r="AM17" s="488">
        <v>4837</v>
      </c>
      <c r="AN17" s="610">
        <v>2576</v>
      </c>
      <c r="AO17" s="488">
        <v>2261</v>
      </c>
      <c r="AP17" s="30">
        <v>0.8777173913043478</v>
      </c>
      <c r="AQ17" s="83"/>
      <c r="AR17" s="201">
        <v>4713</v>
      </c>
      <c r="AS17" s="177">
        <v>7348</v>
      </c>
      <c r="AT17" s="177">
        <v>23083</v>
      </c>
      <c r="AU17" s="177">
        <v>12870</v>
      </c>
      <c r="AV17" s="177">
        <v>5114</v>
      </c>
      <c r="AW17" s="201">
        <v>12561</v>
      </c>
      <c r="AX17" s="201"/>
      <c r="AY17" s="85"/>
      <c r="AZ17" s="85"/>
      <c r="BA17" s="85"/>
      <c r="BB17" s="3"/>
      <c r="BC17" s="3"/>
      <c r="BD17" s="3"/>
      <c r="BG17" s="3"/>
    </row>
    <row r="18" spans="1:59" ht="12.75" customHeight="1">
      <c r="A18" s="142"/>
      <c r="B18" s="7" t="s">
        <v>400</v>
      </c>
      <c r="C18" s="471">
        <v>-293</v>
      </c>
      <c r="D18" s="149">
        <v>-0.6766743648960739</v>
      </c>
      <c r="E18" s="592"/>
      <c r="F18" s="475"/>
      <c r="G18" s="475">
        <v>140</v>
      </c>
      <c r="H18" s="859">
        <v>269</v>
      </c>
      <c r="I18" s="860">
        <v>141</v>
      </c>
      <c r="J18" s="859">
        <v>313</v>
      </c>
      <c r="K18" s="859">
        <v>433</v>
      </c>
      <c r="L18" s="859">
        <v>-51</v>
      </c>
      <c r="M18" s="860">
        <v>-377</v>
      </c>
      <c r="N18" s="859">
        <v>91</v>
      </c>
      <c r="O18" s="859">
        <v>168</v>
      </c>
      <c r="P18" s="859">
        <v>1176</v>
      </c>
      <c r="Q18" s="860">
        <v>356</v>
      </c>
      <c r="R18" s="859">
        <v>-386</v>
      </c>
      <c r="S18" s="859">
        <v>-1374</v>
      </c>
      <c r="T18" s="859">
        <v>224</v>
      </c>
      <c r="U18" s="762"/>
      <c r="V18" s="621"/>
      <c r="W18" s="621"/>
      <c r="X18" s="618"/>
      <c r="Y18" s="762"/>
      <c r="Z18" s="621"/>
      <c r="AA18" s="621"/>
      <c r="AB18" s="621"/>
      <c r="AC18" s="762"/>
      <c r="AD18" s="488"/>
      <c r="AE18" s="488"/>
      <c r="AF18" s="488"/>
      <c r="AG18" s="488"/>
      <c r="AH18" s="763"/>
      <c r="AI18" s="762"/>
      <c r="AJ18" s="762"/>
      <c r="AK18" s="488"/>
      <c r="AL18" s="662"/>
      <c r="AM18" s="859">
        <v>550</v>
      </c>
      <c r="AN18" s="859">
        <v>5</v>
      </c>
      <c r="AO18" s="1339">
        <v>545</v>
      </c>
      <c r="AP18" s="941" t="s">
        <v>44</v>
      </c>
      <c r="AQ18" s="83"/>
      <c r="AR18" s="494">
        <v>318</v>
      </c>
      <c r="AS18" s="494">
        <v>1791</v>
      </c>
      <c r="AT18" s="494">
        <v>-1621</v>
      </c>
      <c r="AU18" s="494">
        <v>2420</v>
      </c>
      <c r="AV18" s="494">
        <v>915</v>
      </c>
      <c r="AW18" s="207">
        <v>2142</v>
      </c>
      <c r="AX18" s="201"/>
      <c r="AY18" s="85"/>
      <c r="AZ18" s="85"/>
      <c r="BA18" s="85"/>
      <c r="BB18" s="3"/>
      <c r="BC18" s="3"/>
      <c r="BD18" s="3"/>
      <c r="BG18" s="3"/>
    </row>
    <row r="19" spans="1:59" ht="12.75" customHeight="1">
      <c r="A19" s="8"/>
      <c r="B19" s="83" t="s">
        <v>260</v>
      </c>
      <c r="C19" s="38">
        <v>642</v>
      </c>
      <c r="D19" s="30">
        <v>0.23839584106943928</v>
      </c>
      <c r="E19" s="592"/>
      <c r="F19" s="465"/>
      <c r="G19" s="465">
        <v>3335</v>
      </c>
      <c r="H19" s="621">
        <v>1135</v>
      </c>
      <c r="I19" s="762">
        <v>917</v>
      </c>
      <c r="J19" s="621">
        <v>2450</v>
      </c>
      <c r="K19" s="621">
        <v>2693</v>
      </c>
      <c r="L19" s="621">
        <v>46</v>
      </c>
      <c r="M19" s="762">
        <v>-158</v>
      </c>
      <c r="N19" s="621">
        <v>2682</v>
      </c>
      <c r="O19" s="621">
        <v>2038</v>
      </c>
      <c r="P19" s="621">
        <v>1186</v>
      </c>
      <c r="Q19" s="762">
        <v>3233</v>
      </c>
      <c r="R19" s="621">
        <v>8010</v>
      </c>
      <c r="S19" s="621">
        <v>7696</v>
      </c>
      <c r="T19" s="621">
        <v>2722</v>
      </c>
      <c r="U19" s="762">
        <v>3034</v>
      </c>
      <c r="V19" s="621">
        <v>2935</v>
      </c>
      <c r="W19" s="621">
        <v>5929</v>
      </c>
      <c r="X19" s="618">
        <v>1837</v>
      </c>
      <c r="Y19" s="762">
        <v>4589</v>
      </c>
      <c r="Z19" s="621">
        <v>1671</v>
      </c>
      <c r="AA19" s="621">
        <v>247</v>
      </c>
      <c r="AB19" s="621">
        <v>863</v>
      </c>
      <c r="AC19" s="762">
        <v>3248</v>
      </c>
      <c r="AD19" s="488">
        <v>-1082</v>
      </c>
      <c r="AE19" s="488">
        <v>4402</v>
      </c>
      <c r="AF19" s="488">
        <v>3860</v>
      </c>
      <c r="AG19" s="488">
        <v>7523</v>
      </c>
      <c r="AH19" s="763">
        <v>6152</v>
      </c>
      <c r="AI19" s="762">
        <v>6072</v>
      </c>
      <c r="AJ19" s="762">
        <v>4784</v>
      </c>
      <c r="AK19" s="488">
        <v>5639</v>
      </c>
      <c r="AL19" s="662"/>
      <c r="AM19" s="621">
        <v>5387</v>
      </c>
      <c r="AN19" s="621">
        <v>2581</v>
      </c>
      <c r="AO19" s="488">
        <v>2806</v>
      </c>
      <c r="AP19" s="30">
        <v>1.087175513366912</v>
      </c>
      <c r="AQ19" s="83"/>
      <c r="AR19" s="177">
        <v>5031</v>
      </c>
      <c r="AS19" s="177">
        <v>9139</v>
      </c>
      <c r="AT19" s="177">
        <v>21462</v>
      </c>
      <c r="AU19" s="177">
        <v>15290</v>
      </c>
      <c r="AV19" s="177">
        <v>6029</v>
      </c>
      <c r="AW19" s="201">
        <v>14703</v>
      </c>
      <c r="AX19" s="201">
        <v>22647</v>
      </c>
      <c r="AY19" s="85">
        <v>18301</v>
      </c>
      <c r="AZ19" s="85">
        <v>11028</v>
      </c>
      <c r="BA19" s="85">
        <v>15746</v>
      </c>
      <c r="BB19" s="3"/>
      <c r="BC19" s="3"/>
      <c r="BD19" s="3"/>
      <c r="BG19" s="3"/>
    </row>
    <row r="20" spans="1:59" ht="12.75" customHeight="1">
      <c r="A20" s="8"/>
      <c r="B20" s="83" t="s">
        <v>74</v>
      </c>
      <c r="C20" s="38">
        <v>-98</v>
      </c>
      <c r="D20" s="30">
        <v>-0.01402002861230329</v>
      </c>
      <c r="E20" s="592"/>
      <c r="F20" s="465"/>
      <c r="G20" s="465">
        <v>6892</v>
      </c>
      <c r="H20" s="621">
        <v>6709</v>
      </c>
      <c r="I20" s="762">
        <v>7393</v>
      </c>
      <c r="J20" s="621">
        <v>7518</v>
      </c>
      <c r="K20" s="621">
        <v>6990</v>
      </c>
      <c r="L20" s="621">
        <v>7062</v>
      </c>
      <c r="M20" s="762">
        <v>8131</v>
      </c>
      <c r="N20" s="621">
        <v>7918</v>
      </c>
      <c r="O20" s="621">
        <v>7331</v>
      </c>
      <c r="P20" s="621">
        <v>7454</v>
      </c>
      <c r="Q20" s="762">
        <v>7968</v>
      </c>
      <c r="R20" s="621">
        <v>7667</v>
      </c>
      <c r="S20" s="621">
        <v>7242</v>
      </c>
      <c r="T20" s="621">
        <v>7351</v>
      </c>
      <c r="U20" s="762">
        <v>7913</v>
      </c>
      <c r="V20" s="621">
        <v>7024</v>
      </c>
      <c r="W20" s="621">
        <v>6489</v>
      </c>
      <c r="X20" s="618">
        <v>6247</v>
      </c>
      <c r="Y20" s="762">
        <v>6152</v>
      </c>
      <c r="Z20" s="621">
        <v>6298</v>
      </c>
      <c r="AA20" s="621">
        <v>6347</v>
      </c>
      <c r="AB20" s="621">
        <v>6799</v>
      </c>
      <c r="AC20" s="762">
        <v>7439</v>
      </c>
      <c r="AD20" s="488">
        <v>6729</v>
      </c>
      <c r="AE20" s="488">
        <v>6111</v>
      </c>
      <c r="AF20" s="488">
        <v>5945</v>
      </c>
      <c r="AG20" s="488">
        <v>6201</v>
      </c>
      <c r="AH20" s="763">
        <v>5940</v>
      </c>
      <c r="AI20" s="762">
        <v>5413</v>
      </c>
      <c r="AJ20" s="762">
        <v>5561</v>
      </c>
      <c r="AK20" s="488">
        <v>5875</v>
      </c>
      <c r="AL20" s="662"/>
      <c r="AM20" s="621">
        <v>20994</v>
      </c>
      <c r="AN20" s="621">
        <v>22183</v>
      </c>
      <c r="AO20" s="488">
        <v>-1189</v>
      </c>
      <c r="AP20" s="30">
        <v>-0.05359960329982419</v>
      </c>
      <c r="AQ20" s="83"/>
      <c r="AR20" s="177">
        <v>29701</v>
      </c>
      <c r="AS20" s="177">
        <v>30671</v>
      </c>
      <c r="AT20" s="177">
        <v>30173</v>
      </c>
      <c r="AU20" s="177">
        <v>25912</v>
      </c>
      <c r="AV20" s="177">
        <v>26883</v>
      </c>
      <c r="AW20" s="201">
        <v>24986</v>
      </c>
      <c r="AX20" s="201">
        <v>22789</v>
      </c>
      <c r="AY20" s="85">
        <v>20531</v>
      </c>
      <c r="AZ20" s="85">
        <v>17980</v>
      </c>
      <c r="BA20" s="85">
        <v>14519</v>
      </c>
      <c r="BB20" s="3"/>
      <c r="BC20" s="3"/>
      <c r="BD20" s="3"/>
      <c r="BG20" s="3"/>
    </row>
    <row r="21" spans="1:59" ht="12.75" customHeight="1" hidden="1">
      <c r="A21" s="8"/>
      <c r="B21" s="7" t="s">
        <v>231</v>
      </c>
      <c r="C21" s="38">
        <v>0</v>
      </c>
      <c r="D21" s="30" t="e">
        <v>#DIV/0!</v>
      </c>
      <c r="E21" s="592"/>
      <c r="F21" s="31"/>
      <c r="G21" s="31"/>
      <c r="H21" s="488"/>
      <c r="I21" s="762"/>
      <c r="J21" s="488"/>
      <c r="K21" s="488"/>
      <c r="L21" s="488"/>
      <c r="M21" s="762"/>
      <c r="N21" s="488"/>
      <c r="O21" s="488"/>
      <c r="P21" s="488"/>
      <c r="Q21" s="762"/>
      <c r="R21" s="488"/>
      <c r="S21" s="488"/>
      <c r="T21" s="488"/>
      <c r="U21" s="762"/>
      <c r="V21" s="488">
        <v>0</v>
      </c>
      <c r="W21" s="488">
        <v>0</v>
      </c>
      <c r="X21" s="762">
        <v>0</v>
      </c>
      <c r="Y21" s="762">
        <v>0</v>
      </c>
      <c r="Z21" s="488">
        <v>0</v>
      </c>
      <c r="AA21" s="488">
        <v>0</v>
      </c>
      <c r="AB21" s="488">
        <v>0</v>
      </c>
      <c r="AC21" s="762">
        <v>0</v>
      </c>
      <c r="AD21" s="621"/>
      <c r="AE21" s="621"/>
      <c r="AF21" s="621"/>
      <c r="AG21" s="618"/>
      <c r="AH21" s="782"/>
      <c r="AI21" s="618"/>
      <c r="AJ21" s="618"/>
      <c r="AK21" s="618"/>
      <c r="AL21" s="857"/>
      <c r="AM21" s="488">
        <v>0</v>
      </c>
      <c r="AN21" s="488">
        <v>0</v>
      </c>
      <c r="AO21" s="621">
        <v>0</v>
      </c>
      <c r="AP21" s="618" t="e">
        <v>#DIV/0!</v>
      </c>
      <c r="AQ21" s="243"/>
      <c r="AR21" s="177">
        <v>0</v>
      </c>
      <c r="AS21" s="177">
        <v>0</v>
      </c>
      <c r="AT21" s="177">
        <v>0</v>
      </c>
      <c r="AU21" s="43">
        <v>0</v>
      </c>
      <c r="AV21" s="43">
        <v>0</v>
      </c>
      <c r="AW21" s="43">
        <v>0</v>
      </c>
      <c r="AX21" s="43">
        <v>0</v>
      </c>
      <c r="AY21" s="43">
        <v>0</v>
      </c>
      <c r="AZ21" s="85"/>
      <c r="BA21" s="85"/>
      <c r="BB21" s="3"/>
      <c r="BC21" s="3"/>
      <c r="BD21" s="3"/>
      <c r="BG21" s="3"/>
    </row>
    <row r="22" spans="1:59" ht="12.75" customHeight="1">
      <c r="A22" s="8"/>
      <c r="B22" s="83" t="s">
        <v>176</v>
      </c>
      <c r="C22" s="38">
        <v>-3721</v>
      </c>
      <c r="D22" s="30" t="s">
        <v>44</v>
      </c>
      <c r="E22" s="592"/>
      <c r="F22" s="465"/>
      <c r="G22" s="465">
        <v>-3342</v>
      </c>
      <c r="H22" s="621">
        <v>-3416</v>
      </c>
      <c r="I22" s="762">
        <v>-2996</v>
      </c>
      <c r="J22" s="621">
        <v>412</v>
      </c>
      <c r="K22" s="621">
        <v>379</v>
      </c>
      <c r="L22" s="621">
        <v>288</v>
      </c>
      <c r="M22" s="762">
        <v>367</v>
      </c>
      <c r="N22" s="621">
        <v>378</v>
      </c>
      <c r="O22" s="621">
        <v>309</v>
      </c>
      <c r="P22" s="621">
        <v>345</v>
      </c>
      <c r="Q22" s="762">
        <v>453</v>
      </c>
      <c r="R22" s="621">
        <v>540</v>
      </c>
      <c r="S22" s="621">
        <v>325</v>
      </c>
      <c r="T22" s="621">
        <v>536</v>
      </c>
      <c r="U22" s="762">
        <v>596</v>
      </c>
      <c r="V22" s="621">
        <v>615</v>
      </c>
      <c r="W22" s="621">
        <v>569</v>
      </c>
      <c r="X22" s="618">
        <v>607</v>
      </c>
      <c r="Y22" s="762">
        <v>298</v>
      </c>
      <c r="Z22" s="621">
        <v>250</v>
      </c>
      <c r="AA22" s="621">
        <v>265</v>
      </c>
      <c r="AB22" s="621">
        <v>-7</v>
      </c>
      <c r="AC22" s="762">
        <v>-68</v>
      </c>
      <c r="AD22" s="488">
        <v>108</v>
      </c>
      <c r="AE22" s="488">
        <v>68</v>
      </c>
      <c r="AF22" s="488">
        <v>185</v>
      </c>
      <c r="AG22" s="488">
        <v>118</v>
      </c>
      <c r="AH22" s="763">
        <v>63</v>
      </c>
      <c r="AI22" s="762">
        <v>18</v>
      </c>
      <c r="AJ22" s="762">
        <v>47</v>
      </c>
      <c r="AK22" s="488">
        <v>185</v>
      </c>
      <c r="AL22" s="662"/>
      <c r="AM22" s="621">
        <v>-9754</v>
      </c>
      <c r="AN22" s="621">
        <v>1034</v>
      </c>
      <c r="AO22" s="488">
        <v>-10788</v>
      </c>
      <c r="AP22" s="618" t="s">
        <v>44</v>
      </c>
      <c r="AQ22" s="83"/>
      <c r="AR22" s="177">
        <v>1446</v>
      </c>
      <c r="AS22" s="177">
        <v>1485</v>
      </c>
      <c r="AT22" s="177">
        <v>1997</v>
      </c>
      <c r="AU22" s="177">
        <v>2089</v>
      </c>
      <c r="AV22" s="177">
        <v>440</v>
      </c>
      <c r="AW22" s="201">
        <v>479</v>
      </c>
      <c r="AX22" s="201">
        <v>313</v>
      </c>
      <c r="AY22" s="85">
        <v>1507</v>
      </c>
      <c r="AZ22" s="85">
        <v>1110</v>
      </c>
      <c r="BA22" s="85">
        <v>12562</v>
      </c>
      <c r="BB22" s="3"/>
      <c r="BC22" s="3"/>
      <c r="BD22" s="3"/>
      <c r="BG22" s="3"/>
    </row>
    <row r="23" spans="1:59" ht="12.75" customHeight="1">
      <c r="A23" s="8"/>
      <c r="B23" s="83" t="s">
        <v>76</v>
      </c>
      <c r="C23" s="38">
        <v>-83</v>
      </c>
      <c r="D23" s="30">
        <v>-0.06027596223674655</v>
      </c>
      <c r="E23" s="592"/>
      <c r="F23" s="465"/>
      <c r="G23" s="465">
        <v>1294</v>
      </c>
      <c r="H23" s="621">
        <v>1217</v>
      </c>
      <c r="I23" s="762">
        <v>1306</v>
      </c>
      <c r="J23" s="621">
        <v>1406</v>
      </c>
      <c r="K23" s="621">
        <v>1377</v>
      </c>
      <c r="L23" s="621">
        <v>1064</v>
      </c>
      <c r="M23" s="762">
        <v>1086</v>
      </c>
      <c r="N23" s="621">
        <v>1368</v>
      </c>
      <c r="O23" s="621">
        <v>1283</v>
      </c>
      <c r="P23" s="621">
        <v>853</v>
      </c>
      <c r="Q23" s="762">
        <v>1871</v>
      </c>
      <c r="R23" s="621">
        <v>1951</v>
      </c>
      <c r="S23" s="621">
        <v>1667</v>
      </c>
      <c r="T23" s="621">
        <v>1625</v>
      </c>
      <c r="U23" s="762">
        <v>1488</v>
      </c>
      <c r="V23" s="621">
        <v>1290</v>
      </c>
      <c r="W23" s="621">
        <v>1170</v>
      </c>
      <c r="X23" s="618">
        <v>1057</v>
      </c>
      <c r="Y23" s="762">
        <v>1047</v>
      </c>
      <c r="Z23" s="621">
        <v>1476</v>
      </c>
      <c r="AA23" s="621">
        <v>1595</v>
      </c>
      <c r="AB23" s="621">
        <v>1151</v>
      </c>
      <c r="AC23" s="762">
        <v>1285</v>
      </c>
      <c r="AD23" s="488">
        <v>1273</v>
      </c>
      <c r="AE23" s="488">
        <v>1165</v>
      </c>
      <c r="AF23" s="488">
        <v>1220</v>
      </c>
      <c r="AG23" s="488">
        <v>1111</v>
      </c>
      <c r="AH23" s="763">
        <v>1003</v>
      </c>
      <c r="AI23" s="762">
        <v>1099</v>
      </c>
      <c r="AJ23" s="762">
        <v>1396</v>
      </c>
      <c r="AK23" s="488">
        <v>1393</v>
      </c>
      <c r="AL23" s="662"/>
      <c r="AM23" s="621">
        <v>3817</v>
      </c>
      <c r="AN23" s="621">
        <v>3527</v>
      </c>
      <c r="AO23" s="488">
        <v>290</v>
      </c>
      <c r="AP23" s="30">
        <v>0.08222285228239297</v>
      </c>
      <c r="AQ23" s="83"/>
      <c r="AR23" s="177">
        <v>4933</v>
      </c>
      <c r="AS23" s="177">
        <v>5375</v>
      </c>
      <c r="AT23" s="177">
        <v>6731</v>
      </c>
      <c r="AU23" s="177">
        <v>4564</v>
      </c>
      <c r="AV23" s="177">
        <v>5507</v>
      </c>
      <c r="AW23" s="201">
        <v>4769</v>
      </c>
      <c r="AX23" s="201">
        <v>4891</v>
      </c>
      <c r="AY23" s="85">
        <v>4493</v>
      </c>
      <c r="AZ23" s="85">
        <v>3216</v>
      </c>
      <c r="BA23" s="85">
        <v>4039</v>
      </c>
      <c r="BB23" s="3"/>
      <c r="BC23" s="3"/>
      <c r="BD23" s="3"/>
      <c r="BG23" s="3"/>
    </row>
    <row r="24" spans="1:59" ht="12.75" customHeight="1">
      <c r="A24" s="8"/>
      <c r="B24" s="83" t="s">
        <v>77</v>
      </c>
      <c r="C24" s="38">
        <v>40</v>
      </c>
      <c r="D24" s="30">
        <v>0.03404255319148936</v>
      </c>
      <c r="E24" s="592"/>
      <c r="F24" s="465"/>
      <c r="G24" s="465">
        <v>1215</v>
      </c>
      <c r="H24" s="621">
        <v>1261</v>
      </c>
      <c r="I24" s="762">
        <v>850</v>
      </c>
      <c r="J24" s="621">
        <v>1117</v>
      </c>
      <c r="K24" s="621">
        <v>1175</v>
      </c>
      <c r="L24" s="621">
        <v>1173</v>
      </c>
      <c r="M24" s="762">
        <v>1289</v>
      </c>
      <c r="N24" s="621">
        <v>1194</v>
      </c>
      <c r="O24" s="621">
        <v>1275</v>
      </c>
      <c r="P24" s="621">
        <v>1153</v>
      </c>
      <c r="Q24" s="762">
        <v>1151</v>
      </c>
      <c r="R24" s="621">
        <v>1165</v>
      </c>
      <c r="S24" s="621">
        <v>824</v>
      </c>
      <c r="T24" s="621">
        <v>1253</v>
      </c>
      <c r="U24" s="762">
        <v>1073</v>
      </c>
      <c r="V24" s="621">
        <v>1098</v>
      </c>
      <c r="W24" s="621">
        <v>1172</v>
      </c>
      <c r="X24" s="618">
        <v>1140</v>
      </c>
      <c r="Y24" s="762">
        <v>1173</v>
      </c>
      <c r="Z24" s="621">
        <v>1267</v>
      </c>
      <c r="AA24" s="621">
        <v>1551</v>
      </c>
      <c r="AB24" s="621">
        <v>1180</v>
      </c>
      <c r="AC24" s="762">
        <v>1246</v>
      </c>
      <c r="AD24" s="488">
        <v>1144</v>
      </c>
      <c r="AE24" s="488">
        <v>1004</v>
      </c>
      <c r="AF24" s="488">
        <v>1278</v>
      </c>
      <c r="AG24" s="488">
        <v>1190</v>
      </c>
      <c r="AH24" s="763">
        <v>1227</v>
      </c>
      <c r="AI24" s="762">
        <v>1240</v>
      </c>
      <c r="AJ24" s="762">
        <v>1286</v>
      </c>
      <c r="AK24" s="488">
        <v>1034</v>
      </c>
      <c r="AL24" s="662"/>
      <c r="AM24" s="621">
        <v>3326</v>
      </c>
      <c r="AN24" s="621">
        <v>3637</v>
      </c>
      <c r="AO24" s="488">
        <v>-311</v>
      </c>
      <c r="AP24" s="30">
        <v>-0.08551003574374484</v>
      </c>
      <c r="AQ24" s="83"/>
      <c r="AR24" s="177">
        <v>4754</v>
      </c>
      <c r="AS24" s="177">
        <v>4773</v>
      </c>
      <c r="AT24" s="177">
        <v>4315</v>
      </c>
      <c r="AU24" s="177">
        <v>4583</v>
      </c>
      <c r="AV24" s="177">
        <v>5244</v>
      </c>
      <c r="AW24" s="201">
        <v>4616</v>
      </c>
      <c r="AX24" s="201">
        <v>4787</v>
      </c>
      <c r="AY24" s="85">
        <v>3805</v>
      </c>
      <c r="AZ24" s="85">
        <v>2966</v>
      </c>
      <c r="BA24" s="85">
        <v>2594</v>
      </c>
      <c r="BB24" s="3"/>
      <c r="BC24" s="3"/>
      <c r="BD24" s="3"/>
      <c r="BG24" s="3"/>
    </row>
    <row r="25" spans="1:59" ht="12.75" customHeight="1">
      <c r="A25" s="8"/>
      <c r="B25" s="83" t="s">
        <v>72</v>
      </c>
      <c r="C25" s="38">
        <v>178</v>
      </c>
      <c r="D25" s="30">
        <v>0.4671916010498688</v>
      </c>
      <c r="E25" s="592"/>
      <c r="F25" s="465"/>
      <c r="G25" s="465">
        <v>559</v>
      </c>
      <c r="H25" s="621">
        <v>379</v>
      </c>
      <c r="I25" s="762">
        <v>368</v>
      </c>
      <c r="J25" s="621">
        <v>520</v>
      </c>
      <c r="K25" s="621">
        <v>381</v>
      </c>
      <c r="L25" s="621">
        <v>364</v>
      </c>
      <c r="M25" s="762">
        <v>541</v>
      </c>
      <c r="N25" s="621">
        <v>378</v>
      </c>
      <c r="O25" s="621">
        <v>387</v>
      </c>
      <c r="P25" s="621">
        <v>373</v>
      </c>
      <c r="Q25" s="762">
        <v>398</v>
      </c>
      <c r="R25" s="621">
        <v>427</v>
      </c>
      <c r="S25" s="621">
        <v>391</v>
      </c>
      <c r="T25" s="621">
        <v>361</v>
      </c>
      <c r="U25" s="762">
        <v>356</v>
      </c>
      <c r="V25" s="621">
        <v>337</v>
      </c>
      <c r="W25" s="621">
        <v>290</v>
      </c>
      <c r="X25" s="618">
        <v>322</v>
      </c>
      <c r="Y25" s="762">
        <v>442</v>
      </c>
      <c r="Z25" s="621">
        <v>407</v>
      </c>
      <c r="AA25" s="621">
        <v>538</v>
      </c>
      <c r="AB25" s="621">
        <v>538</v>
      </c>
      <c r="AC25" s="762">
        <v>562</v>
      </c>
      <c r="AD25" s="488">
        <v>526</v>
      </c>
      <c r="AE25" s="488">
        <v>531</v>
      </c>
      <c r="AF25" s="488">
        <v>625</v>
      </c>
      <c r="AG25" s="488">
        <v>514</v>
      </c>
      <c r="AH25" s="763">
        <v>-48</v>
      </c>
      <c r="AI25" s="762">
        <v>-6</v>
      </c>
      <c r="AJ25" s="762">
        <v>79</v>
      </c>
      <c r="AK25" s="488">
        <v>45</v>
      </c>
      <c r="AL25" s="662"/>
      <c r="AM25" s="621">
        <v>1306</v>
      </c>
      <c r="AN25" s="621">
        <v>1286</v>
      </c>
      <c r="AO25" s="488">
        <v>20</v>
      </c>
      <c r="AP25" s="30">
        <v>0.015552099533437015</v>
      </c>
      <c r="AQ25" s="83"/>
      <c r="AR25" s="177">
        <v>1806</v>
      </c>
      <c r="AS25" s="177">
        <v>1536</v>
      </c>
      <c r="AT25" s="177">
        <v>1535</v>
      </c>
      <c r="AU25" s="177">
        <v>1391</v>
      </c>
      <c r="AV25" s="177">
        <v>2045</v>
      </c>
      <c r="AW25" s="201">
        <v>2196</v>
      </c>
      <c r="AX25" s="201">
        <v>70</v>
      </c>
      <c r="AY25" s="85">
        <v>1931</v>
      </c>
      <c r="AZ25" s="85">
        <v>3502</v>
      </c>
      <c r="BA25" s="85">
        <v>3959</v>
      </c>
      <c r="BB25" s="3"/>
      <c r="BC25" s="3"/>
      <c r="BD25" s="3"/>
      <c r="BG25" s="3"/>
    </row>
    <row r="26" spans="1:59" ht="12.75" customHeight="1">
      <c r="A26" s="8"/>
      <c r="B26" s="83" t="s">
        <v>101</v>
      </c>
      <c r="C26" s="38">
        <v>484</v>
      </c>
      <c r="D26" s="30">
        <v>0.1713274336283186</v>
      </c>
      <c r="E26" s="592"/>
      <c r="F26" s="465"/>
      <c r="G26" s="465">
        <v>3309</v>
      </c>
      <c r="H26" s="621">
        <v>2778</v>
      </c>
      <c r="I26" s="762">
        <v>3085</v>
      </c>
      <c r="J26" s="621">
        <v>3229</v>
      </c>
      <c r="K26" s="621">
        <v>2825</v>
      </c>
      <c r="L26" s="621">
        <v>1268</v>
      </c>
      <c r="M26" s="762">
        <v>1787</v>
      </c>
      <c r="N26" s="621">
        <v>5300</v>
      </c>
      <c r="O26" s="621">
        <v>3774</v>
      </c>
      <c r="P26" s="621">
        <v>3317</v>
      </c>
      <c r="Q26" s="762">
        <v>3609</v>
      </c>
      <c r="R26" s="621">
        <v>5365</v>
      </c>
      <c r="S26" s="621">
        <v>3517</v>
      </c>
      <c r="T26" s="621">
        <v>3694</v>
      </c>
      <c r="U26" s="762">
        <v>3074</v>
      </c>
      <c r="V26" s="621">
        <v>4645</v>
      </c>
      <c r="W26" s="621">
        <v>3707</v>
      </c>
      <c r="X26" s="618">
        <v>3993</v>
      </c>
      <c r="Y26" s="762">
        <v>2101</v>
      </c>
      <c r="Z26" s="621">
        <v>3469</v>
      </c>
      <c r="AA26" s="621">
        <v>3128</v>
      </c>
      <c r="AB26" s="621">
        <v>4162</v>
      </c>
      <c r="AC26" s="762">
        <v>3270</v>
      </c>
      <c r="AD26" s="488">
        <v>3650</v>
      </c>
      <c r="AE26" s="488">
        <v>5050</v>
      </c>
      <c r="AF26" s="488">
        <v>3276</v>
      </c>
      <c r="AG26" s="488">
        <v>4921</v>
      </c>
      <c r="AH26" s="763">
        <v>3742</v>
      </c>
      <c r="AI26" s="762">
        <v>3593</v>
      </c>
      <c r="AJ26" s="762">
        <v>3962</v>
      </c>
      <c r="AK26" s="488">
        <v>4354</v>
      </c>
      <c r="AL26" s="662"/>
      <c r="AM26" s="621">
        <v>9172</v>
      </c>
      <c r="AN26" s="621">
        <v>5880</v>
      </c>
      <c r="AO26" s="488">
        <v>3292</v>
      </c>
      <c r="AP26" s="30">
        <v>0.5598639455782313</v>
      </c>
      <c r="AQ26" s="83"/>
      <c r="AR26" s="177">
        <v>9109</v>
      </c>
      <c r="AS26" s="177">
        <v>16000</v>
      </c>
      <c r="AT26" s="177">
        <v>15650</v>
      </c>
      <c r="AU26" s="177">
        <v>14446</v>
      </c>
      <c r="AV26" s="177">
        <v>14029</v>
      </c>
      <c r="AW26" s="201">
        <v>16897</v>
      </c>
      <c r="AX26" s="201">
        <v>15651</v>
      </c>
      <c r="AY26" s="85">
        <v>14067</v>
      </c>
      <c r="AZ26" s="85">
        <v>13643</v>
      </c>
      <c r="BA26" s="85">
        <v>7931</v>
      </c>
      <c r="BB26" s="3"/>
      <c r="BC26" s="3"/>
      <c r="BD26" s="3"/>
      <c r="BG26" s="3"/>
    </row>
    <row r="27" spans="1:59" ht="12.75" customHeight="1">
      <c r="A27" s="8"/>
      <c r="B27" s="83" t="s">
        <v>79</v>
      </c>
      <c r="C27" s="38">
        <v>-20</v>
      </c>
      <c r="D27" s="30">
        <v>-0.040160642570281124</v>
      </c>
      <c r="E27" s="592"/>
      <c r="F27" s="465"/>
      <c r="G27" s="465">
        <v>478</v>
      </c>
      <c r="H27" s="621">
        <v>414</v>
      </c>
      <c r="I27" s="762">
        <v>466</v>
      </c>
      <c r="J27" s="621">
        <v>705</v>
      </c>
      <c r="K27" s="621">
        <v>498</v>
      </c>
      <c r="L27" s="621">
        <v>385</v>
      </c>
      <c r="M27" s="762">
        <v>382</v>
      </c>
      <c r="N27" s="621">
        <v>365</v>
      </c>
      <c r="O27" s="621">
        <v>460</v>
      </c>
      <c r="P27" s="621">
        <v>336</v>
      </c>
      <c r="Q27" s="762">
        <v>462</v>
      </c>
      <c r="R27" s="621">
        <v>561</v>
      </c>
      <c r="S27" s="621">
        <v>361</v>
      </c>
      <c r="T27" s="621">
        <v>343</v>
      </c>
      <c r="U27" s="762">
        <v>317</v>
      </c>
      <c r="V27" s="621">
        <v>383</v>
      </c>
      <c r="W27" s="621">
        <v>364</v>
      </c>
      <c r="X27" s="618">
        <v>362</v>
      </c>
      <c r="Y27" s="762">
        <v>361</v>
      </c>
      <c r="Z27" s="621">
        <v>465</v>
      </c>
      <c r="AA27" s="621">
        <v>702</v>
      </c>
      <c r="AB27" s="621">
        <v>735</v>
      </c>
      <c r="AC27" s="762">
        <v>721</v>
      </c>
      <c r="AD27" s="488">
        <v>782</v>
      </c>
      <c r="AE27" s="488">
        <v>718</v>
      </c>
      <c r="AF27" s="488">
        <v>689</v>
      </c>
      <c r="AG27" s="488">
        <v>636</v>
      </c>
      <c r="AH27" s="763">
        <v>666</v>
      </c>
      <c r="AI27" s="762">
        <v>632</v>
      </c>
      <c r="AJ27" s="762">
        <v>655</v>
      </c>
      <c r="AK27" s="488">
        <v>629</v>
      </c>
      <c r="AL27" s="662"/>
      <c r="AM27" s="621">
        <v>1358</v>
      </c>
      <c r="AN27" s="621">
        <v>1265</v>
      </c>
      <c r="AO27" s="488">
        <v>93</v>
      </c>
      <c r="AP27" s="30">
        <v>0.07351778656126483</v>
      </c>
      <c r="AQ27" s="83"/>
      <c r="AR27" s="177">
        <v>1970</v>
      </c>
      <c r="AS27" s="177">
        <v>1623</v>
      </c>
      <c r="AT27" s="177">
        <v>1582</v>
      </c>
      <c r="AU27" s="177">
        <v>1470</v>
      </c>
      <c r="AV27" s="177">
        <v>2623</v>
      </c>
      <c r="AW27" s="201">
        <v>2825</v>
      </c>
      <c r="AX27" s="201">
        <v>2582</v>
      </c>
      <c r="AY27" s="85">
        <v>1468</v>
      </c>
      <c r="AZ27" s="85">
        <v>894</v>
      </c>
      <c r="BA27" s="85">
        <v>979</v>
      </c>
      <c r="BB27" s="3"/>
      <c r="BC27" s="3"/>
      <c r="BD27" s="3"/>
      <c r="BG27" s="3"/>
    </row>
    <row r="28" spans="1:59" ht="12.75">
      <c r="A28" s="8"/>
      <c r="B28" s="83" t="s">
        <v>80</v>
      </c>
      <c r="C28" s="38">
        <v>-115</v>
      </c>
      <c r="D28" s="30">
        <v>-0.23565573770491804</v>
      </c>
      <c r="E28" s="592"/>
      <c r="F28" s="465"/>
      <c r="G28" s="465">
        <v>373</v>
      </c>
      <c r="H28" s="621">
        <v>382</v>
      </c>
      <c r="I28" s="762">
        <v>426</v>
      </c>
      <c r="J28" s="621">
        <v>504</v>
      </c>
      <c r="K28" s="621">
        <v>488</v>
      </c>
      <c r="L28" s="621">
        <v>509</v>
      </c>
      <c r="M28" s="762">
        <v>487</v>
      </c>
      <c r="N28" s="621">
        <v>495</v>
      </c>
      <c r="O28" s="621">
        <v>561</v>
      </c>
      <c r="P28" s="621">
        <v>527</v>
      </c>
      <c r="Q28" s="762">
        <v>401</v>
      </c>
      <c r="R28" s="621">
        <v>786</v>
      </c>
      <c r="S28" s="621">
        <v>587</v>
      </c>
      <c r="T28" s="621">
        <v>576</v>
      </c>
      <c r="U28" s="762">
        <v>370</v>
      </c>
      <c r="V28" s="621">
        <v>1160</v>
      </c>
      <c r="W28" s="621">
        <v>1040</v>
      </c>
      <c r="X28" s="618">
        <v>1087</v>
      </c>
      <c r="Y28" s="762">
        <v>1005</v>
      </c>
      <c r="Z28" s="621">
        <v>1381</v>
      </c>
      <c r="AA28" s="621">
        <v>1175</v>
      </c>
      <c r="AB28" s="621">
        <v>1323</v>
      </c>
      <c r="AC28" s="762">
        <v>1773</v>
      </c>
      <c r="AD28" s="488">
        <v>1641</v>
      </c>
      <c r="AE28" s="488">
        <v>1288</v>
      </c>
      <c r="AF28" s="488">
        <v>1243</v>
      </c>
      <c r="AG28" s="488">
        <v>1509</v>
      </c>
      <c r="AH28" s="763">
        <v>1308</v>
      </c>
      <c r="AI28" s="762">
        <v>1121</v>
      </c>
      <c r="AJ28" s="762">
        <v>962</v>
      </c>
      <c r="AK28" s="488">
        <v>1059</v>
      </c>
      <c r="AL28" s="662"/>
      <c r="AM28" s="621">
        <v>1181</v>
      </c>
      <c r="AN28" s="621">
        <v>1484</v>
      </c>
      <c r="AO28" s="488">
        <v>-303</v>
      </c>
      <c r="AP28" s="30">
        <v>-0.204177897574124</v>
      </c>
      <c r="AQ28" s="83"/>
      <c r="AR28" s="177">
        <v>1988</v>
      </c>
      <c r="AS28" s="177">
        <v>1984</v>
      </c>
      <c r="AT28" s="177">
        <v>2319</v>
      </c>
      <c r="AU28" s="177">
        <v>4292</v>
      </c>
      <c r="AV28" s="177">
        <v>5652</v>
      </c>
      <c r="AW28" s="201">
        <v>5681</v>
      </c>
      <c r="AX28" s="201">
        <v>4450</v>
      </c>
      <c r="AY28" s="85">
        <v>4256</v>
      </c>
      <c r="AZ28" s="85">
        <v>4444</v>
      </c>
      <c r="BA28" s="85">
        <v>4143</v>
      </c>
      <c r="BB28" s="3"/>
      <c r="BC28" s="3"/>
      <c r="BD28" s="3"/>
      <c r="BG28" s="3"/>
    </row>
    <row r="29" spans="1:59" s="625" customFormat="1" ht="12.75" customHeight="1">
      <c r="A29" s="7"/>
      <c r="B29" s="7" t="s">
        <v>193</v>
      </c>
      <c r="C29" s="38">
        <v>0</v>
      </c>
      <c r="D29" s="30">
        <v>0</v>
      </c>
      <c r="E29" s="592"/>
      <c r="F29" s="213"/>
      <c r="G29" s="213">
        <v>0</v>
      </c>
      <c r="H29" s="610">
        <v>0</v>
      </c>
      <c r="I29" s="855">
        <v>0</v>
      </c>
      <c r="J29" s="610">
        <v>0</v>
      </c>
      <c r="K29" s="610">
        <v>0</v>
      </c>
      <c r="L29" s="610">
        <v>900</v>
      </c>
      <c r="M29" s="855">
        <v>0</v>
      </c>
      <c r="N29" s="610">
        <v>275</v>
      </c>
      <c r="O29" s="610">
        <v>5000</v>
      </c>
      <c r="P29" s="610">
        <v>0</v>
      </c>
      <c r="Q29" s="855">
        <v>0</v>
      </c>
      <c r="R29" s="610">
        <v>0</v>
      </c>
      <c r="S29" s="610">
        <v>0</v>
      </c>
      <c r="T29" s="488">
        <v>0</v>
      </c>
      <c r="U29" s="855">
        <v>0</v>
      </c>
      <c r="V29" s="610">
        <v>0</v>
      </c>
      <c r="W29" s="610">
        <v>0</v>
      </c>
      <c r="X29" s="762">
        <v>0</v>
      </c>
      <c r="Y29" s="855">
        <v>0</v>
      </c>
      <c r="Z29" s="621">
        <v>120</v>
      </c>
      <c r="AA29" s="621">
        <v>1391</v>
      </c>
      <c r="AB29" s="610">
        <v>0</v>
      </c>
      <c r="AC29" s="855">
        <v>0</v>
      </c>
      <c r="AD29" s="610">
        <v>2300</v>
      </c>
      <c r="AE29" s="610">
        <v>0</v>
      </c>
      <c r="AF29" s="610">
        <v>0</v>
      </c>
      <c r="AG29" s="855">
        <v>0</v>
      </c>
      <c r="AH29" s="662">
        <v>0</v>
      </c>
      <c r="AI29" s="855">
        <v>0</v>
      </c>
      <c r="AJ29" s="855"/>
      <c r="AK29" s="610"/>
      <c r="AL29" s="662"/>
      <c r="AM29" s="610">
        <v>0</v>
      </c>
      <c r="AN29" s="610">
        <v>900</v>
      </c>
      <c r="AO29" s="488">
        <v>-900</v>
      </c>
      <c r="AP29" s="30">
        <v>-1</v>
      </c>
      <c r="AQ29" s="83"/>
      <c r="AR29" s="177">
        <v>900</v>
      </c>
      <c r="AS29" s="177">
        <v>5275</v>
      </c>
      <c r="AT29" s="177">
        <v>0</v>
      </c>
      <c r="AU29" s="177">
        <v>0</v>
      </c>
      <c r="AV29" s="201">
        <v>1511</v>
      </c>
      <c r="AW29" s="204">
        <v>2300</v>
      </c>
      <c r="AX29" s="204">
        <v>0</v>
      </c>
      <c r="AY29" s="85">
        <v>0</v>
      </c>
      <c r="AZ29" s="85">
        <v>0</v>
      </c>
      <c r="BA29" s="85">
        <v>0</v>
      </c>
      <c r="BB29" s="1410"/>
      <c r="BC29" s="1410"/>
      <c r="BD29" s="1410"/>
      <c r="BG29" s="1410"/>
    </row>
    <row r="30" spans="1:59" ht="12.75">
      <c r="A30" s="8"/>
      <c r="B30" s="83" t="s">
        <v>218</v>
      </c>
      <c r="C30" s="38">
        <v>0</v>
      </c>
      <c r="D30" s="30" t="s">
        <v>243</v>
      </c>
      <c r="E30" s="592"/>
      <c r="F30" s="213"/>
      <c r="G30" s="213">
        <v>0</v>
      </c>
      <c r="H30" s="610">
        <v>0</v>
      </c>
      <c r="I30" s="855">
        <v>0</v>
      </c>
      <c r="J30" s="610">
        <v>0</v>
      </c>
      <c r="K30" s="610">
        <v>0</v>
      </c>
      <c r="L30" s="610">
        <v>0</v>
      </c>
      <c r="M30" s="855">
        <v>0</v>
      </c>
      <c r="N30" s="610">
        <v>0</v>
      </c>
      <c r="O30" s="610">
        <v>0</v>
      </c>
      <c r="P30" s="610">
        <v>1513</v>
      </c>
      <c r="Q30" s="855">
        <v>0</v>
      </c>
      <c r="R30" s="610">
        <v>0</v>
      </c>
      <c r="S30" s="610">
        <v>0</v>
      </c>
      <c r="T30" s="488">
        <v>0</v>
      </c>
      <c r="U30" s="855">
        <v>0</v>
      </c>
      <c r="V30" s="610">
        <v>0</v>
      </c>
      <c r="W30" s="610">
        <v>0</v>
      </c>
      <c r="X30" s="762">
        <v>0</v>
      </c>
      <c r="Y30" s="855">
        <v>0</v>
      </c>
      <c r="Z30" s="610">
        <v>0</v>
      </c>
      <c r="AA30" s="610">
        <v>0</v>
      </c>
      <c r="AB30" s="610">
        <v>0</v>
      </c>
      <c r="AC30" s="855">
        <v>0</v>
      </c>
      <c r="AD30" s="610">
        <v>0</v>
      </c>
      <c r="AE30" s="610">
        <v>0</v>
      </c>
      <c r="AF30" s="610">
        <v>0</v>
      </c>
      <c r="AG30" s="855">
        <v>0</v>
      </c>
      <c r="AH30" s="662">
        <v>0</v>
      </c>
      <c r="AI30" s="855">
        <v>0</v>
      </c>
      <c r="AJ30" s="855">
        <v>0</v>
      </c>
      <c r="AK30" s="610">
        <v>0</v>
      </c>
      <c r="AL30" s="662"/>
      <c r="AM30" s="621">
        <v>0</v>
      </c>
      <c r="AN30" s="610">
        <v>0</v>
      </c>
      <c r="AO30" s="488">
        <v>0</v>
      </c>
      <c r="AP30" s="30">
        <v>0</v>
      </c>
      <c r="AQ30" s="83"/>
      <c r="AR30" s="177">
        <v>0</v>
      </c>
      <c r="AS30" s="177">
        <v>1513</v>
      </c>
      <c r="AT30" s="177">
        <v>0</v>
      </c>
      <c r="AU30" s="177">
        <v>0</v>
      </c>
      <c r="AV30" s="177">
        <v>0</v>
      </c>
      <c r="AW30" s="177">
        <v>0</v>
      </c>
      <c r="AX30" s="177">
        <v>0</v>
      </c>
      <c r="AY30" s="85">
        <v>-1633</v>
      </c>
      <c r="AZ30" s="85">
        <v>0</v>
      </c>
      <c r="BA30" s="85">
        <v>0</v>
      </c>
      <c r="BB30" s="3"/>
      <c r="BC30" s="3"/>
      <c r="BD30" s="3"/>
      <c r="BG30" s="3"/>
    </row>
    <row r="31" spans="1:59" ht="12.75">
      <c r="A31" s="7"/>
      <c r="B31" s="83" t="s">
        <v>81</v>
      </c>
      <c r="C31" s="38">
        <v>0</v>
      </c>
      <c r="D31" s="30">
        <v>0</v>
      </c>
      <c r="E31" s="592"/>
      <c r="F31" s="213"/>
      <c r="G31" s="213">
        <v>0</v>
      </c>
      <c r="H31" s="610">
        <v>0</v>
      </c>
      <c r="I31" s="855">
        <v>0</v>
      </c>
      <c r="J31" s="610">
        <v>0</v>
      </c>
      <c r="K31" s="610">
        <v>0</v>
      </c>
      <c r="L31" s="610">
        <v>0</v>
      </c>
      <c r="M31" s="855">
        <v>0</v>
      </c>
      <c r="N31" s="610">
        <v>0</v>
      </c>
      <c r="O31" s="610">
        <v>0</v>
      </c>
      <c r="P31" s="610">
        <v>0</v>
      </c>
      <c r="Q31" s="855">
        <v>0</v>
      </c>
      <c r="R31" s="610">
        <v>0</v>
      </c>
      <c r="S31" s="610">
        <v>0</v>
      </c>
      <c r="T31" s="488">
        <v>0</v>
      </c>
      <c r="U31" s="855">
        <v>0</v>
      </c>
      <c r="V31" s="610">
        <v>0</v>
      </c>
      <c r="W31" s="610">
        <v>0</v>
      </c>
      <c r="X31" s="762">
        <v>0</v>
      </c>
      <c r="Y31" s="855">
        <v>0</v>
      </c>
      <c r="Z31" s="610">
        <v>0</v>
      </c>
      <c r="AA31" s="610">
        <v>6700</v>
      </c>
      <c r="AB31" s="610">
        <v>0</v>
      </c>
      <c r="AC31" s="855">
        <v>0</v>
      </c>
      <c r="AD31" s="488">
        <v>3189</v>
      </c>
      <c r="AE31" s="488">
        <v>3125</v>
      </c>
      <c r="AF31" s="488">
        <v>3253</v>
      </c>
      <c r="AG31" s="855">
        <v>0</v>
      </c>
      <c r="AH31" s="662">
        <v>0</v>
      </c>
      <c r="AI31" s="855">
        <v>0</v>
      </c>
      <c r="AJ31" s="855">
        <v>0</v>
      </c>
      <c r="AK31" s="610">
        <v>0</v>
      </c>
      <c r="AL31" s="662"/>
      <c r="AM31" s="488">
        <v>0</v>
      </c>
      <c r="AN31" s="610">
        <v>0</v>
      </c>
      <c r="AO31" s="488">
        <v>0</v>
      </c>
      <c r="AP31" s="30">
        <v>0</v>
      </c>
      <c r="AQ31" s="83"/>
      <c r="AR31" s="177">
        <v>0</v>
      </c>
      <c r="AS31" s="177">
        <v>0</v>
      </c>
      <c r="AT31" s="177">
        <v>0</v>
      </c>
      <c r="AU31" s="177">
        <v>0</v>
      </c>
      <c r="AV31" s="177">
        <v>6700</v>
      </c>
      <c r="AW31" s="201">
        <v>9567</v>
      </c>
      <c r="AX31" s="177">
        <v>0</v>
      </c>
      <c r="AY31" s="85">
        <v>0</v>
      </c>
      <c r="AZ31" s="85">
        <v>0</v>
      </c>
      <c r="BA31" s="85">
        <v>0</v>
      </c>
      <c r="BB31" s="3"/>
      <c r="BC31" s="3"/>
      <c r="BD31" s="3"/>
      <c r="BG31" s="3"/>
    </row>
    <row r="32" spans="1:59" ht="12.75" customHeight="1">
      <c r="A32" s="8"/>
      <c r="B32" s="7"/>
      <c r="C32" s="169">
        <v>-2693</v>
      </c>
      <c r="D32" s="614">
        <v>-0.16024039033678447</v>
      </c>
      <c r="E32" s="592"/>
      <c r="F32" s="394"/>
      <c r="G32" s="394">
        <v>14113</v>
      </c>
      <c r="H32" s="394">
        <v>10859</v>
      </c>
      <c r="I32" s="225">
        <v>11815</v>
      </c>
      <c r="J32" s="394">
        <v>17861</v>
      </c>
      <c r="K32" s="394">
        <v>16806</v>
      </c>
      <c r="L32" s="394">
        <v>13059</v>
      </c>
      <c r="M32" s="225">
        <v>13912</v>
      </c>
      <c r="N32" s="394">
        <v>20353</v>
      </c>
      <c r="O32" s="394">
        <v>22418</v>
      </c>
      <c r="P32" s="394">
        <v>17057</v>
      </c>
      <c r="Q32" s="225">
        <v>19546</v>
      </c>
      <c r="R32" s="394">
        <v>26472</v>
      </c>
      <c r="S32" s="394">
        <v>22610</v>
      </c>
      <c r="T32" s="394">
        <v>18461</v>
      </c>
      <c r="U32" s="225">
        <v>18221</v>
      </c>
      <c r="V32" s="394">
        <v>19487</v>
      </c>
      <c r="W32" s="394">
        <v>20730</v>
      </c>
      <c r="X32" s="225">
        <v>16652</v>
      </c>
      <c r="Y32" s="225">
        <v>17168</v>
      </c>
      <c r="Z32" s="394">
        <v>16804</v>
      </c>
      <c r="AA32" s="394">
        <v>23639</v>
      </c>
      <c r="AB32" s="394">
        <v>16744</v>
      </c>
      <c r="AC32" s="225">
        <v>19476</v>
      </c>
      <c r="AD32" s="394">
        <v>20260</v>
      </c>
      <c r="AE32" s="394">
        <v>23462</v>
      </c>
      <c r="AF32" s="394">
        <v>21574</v>
      </c>
      <c r="AG32" s="220">
        <v>23723</v>
      </c>
      <c r="AH32" s="171">
        <v>20053</v>
      </c>
      <c r="AI32" s="221">
        <v>19182</v>
      </c>
      <c r="AJ32" s="221">
        <v>18732</v>
      </c>
      <c r="AK32" s="220">
        <v>20213</v>
      </c>
      <c r="AL32" s="89"/>
      <c r="AM32" s="178">
        <v>36787</v>
      </c>
      <c r="AN32" s="220">
        <v>43777</v>
      </c>
      <c r="AO32" s="540">
        <v>-6990</v>
      </c>
      <c r="AP32" s="614">
        <v>-0.15967288758937342</v>
      </c>
      <c r="AQ32" s="89"/>
      <c r="AR32" s="225">
        <v>61638</v>
      </c>
      <c r="AS32" s="225">
        <v>79374</v>
      </c>
      <c r="AT32" s="225">
        <v>85764</v>
      </c>
      <c r="AU32" s="249">
        <v>74037</v>
      </c>
      <c r="AV32" s="257">
        <v>76663</v>
      </c>
      <c r="AW32" s="257">
        <v>89019</v>
      </c>
      <c r="AX32" s="257">
        <v>78180</v>
      </c>
      <c r="AY32" s="368">
        <v>68726</v>
      </c>
      <c r="AZ32" s="368">
        <v>58783</v>
      </c>
      <c r="BA32" s="369">
        <v>66472</v>
      </c>
      <c r="BB32" s="3"/>
      <c r="BC32" s="3"/>
      <c r="BD32" s="3"/>
      <c r="BG32" s="3"/>
    </row>
    <row r="33" spans="1:59" s="96" customFormat="1" ht="24.75" customHeight="1" thickBot="1">
      <c r="A33" s="1443" t="s">
        <v>244</v>
      </c>
      <c r="B33" s="1444"/>
      <c r="C33" s="169">
        <v>3146</v>
      </c>
      <c r="D33" s="170">
        <v>0.25637682340477547</v>
      </c>
      <c r="E33" s="592"/>
      <c r="F33" s="178"/>
      <c r="G33" s="1325">
        <v>-9125</v>
      </c>
      <c r="H33" s="1325">
        <v>-4487</v>
      </c>
      <c r="I33" s="1328">
        <v>-9610</v>
      </c>
      <c r="J33" s="1336">
        <v>-12816</v>
      </c>
      <c r="K33" s="1325">
        <v>-12271</v>
      </c>
      <c r="L33" s="1325">
        <v>-3056</v>
      </c>
      <c r="M33" s="1328">
        <v>-9018</v>
      </c>
      <c r="N33" s="1336">
        <v>-10252</v>
      </c>
      <c r="O33" s="1325">
        <v>-12681</v>
      </c>
      <c r="P33" s="1325">
        <v>-14421</v>
      </c>
      <c r="Q33" s="221">
        <v>-11923</v>
      </c>
      <c r="R33" s="394">
        <v>-15352</v>
      </c>
      <c r="S33" s="394">
        <v>-14133</v>
      </c>
      <c r="T33" s="212">
        <v>-10678</v>
      </c>
      <c r="U33" s="225">
        <v>-13663</v>
      </c>
      <c r="V33" s="212">
        <v>-14840</v>
      </c>
      <c r="W33" s="394">
        <v>-15356</v>
      </c>
      <c r="X33" s="212">
        <v>-11521</v>
      </c>
      <c r="Y33" s="225">
        <v>-5387</v>
      </c>
      <c r="Z33" s="394">
        <v>-12035</v>
      </c>
      <c r="AA33" s="394">
        <v>-19233</v>
      </c>
      <c r="AB33" s="394">
        <v>-8095</v>
      </c>
      <c r="AC33" s="225">
        <v>-9414</v>
      </c>
      <c r="AD33" s="226">
        <v>-9242</v>
      </c>
      <c r="AE33" s="221">
        <v>-10857</v>
      </c>
      <c r="AF33" s="221">
        <v>-9191</v>
      </c>
      <c r="AG33" s="220">
        <v>-8959</v>
      </c>
      <c r="AH33" s="220">
        <v>-9637</v>
      </c>
      <c r="AI33" s="220">
        <v>-11127</v>
      </c>
      <c r="AJ33" s="220">
        <v>-11360</v>
      </c>
      <c r="AK33" s="220">
        <v>-11478</v>
      </c>
      <c r="AL33" s="89"/>
      <c r="AM33" s="471">
        <v>-23222</v>
      </c>
      <c r="AN33" s="389">
        <v>-24345</v>
      </c>
      <c r="AO33" s="381">
        <v>1123</v>
      </c>
      <c r="AP33" s="541">
        <v>0.046128568494557404</v>
      </c>
      <c r="AQ33" s="89"/>
      <c r="AR33" s="1334">
        <v>-37161</v>
      </c>
      <c r="AS33" s="1334">
        <v>-49277</v>
      </c>
      <c r="AT33" s="1334">
        <v>-53826</v>
      </c>
      <c r="AU33" s="1349">
        <v>-47104</v>
      </c>
      <c r="AV33" s="1349">
        <v>-48777</v>
      </c>
      <c r="AW33" s="236">
        <v>-38249</v>
      </c>
      <c r="AX33" s="236">
        <v>-43602</v>
      </c>
      <c r="AY33" s="360">
        <v>-44171</v>
      </c>
      <c r="AZ33" s="360">
        <v>-43835</v>
      </c>
      <c r="BA33" s="366">
        <v>-52056</v>
      </c>
      <c r="BB33" s="148"/>
      <c r="BD33" s="210"/>
      <c r="BE33" s="210"/>
      <c r="BF33" s="210"/>
      <c r="BG33" s="210"/>
    </row>
    <row r="34" spans="1:59" s="96" customFormat="1" ht="13.5" thickTop="1">
      <c r="A34" s="537"/>
      <c r="B34" s="546" t="s">
        <v>451</v>
      </c>
      <c r="C34" s="169">
        <v>2359</v>
      </c>
      <c r="D34" s="599">
        <v>0.21257997657024422</v>
      </c>
      <c r="E34" s="592"/>
      <c r="F34" s="851"/>
      <c r="G34" s="621">
        <v>-8738</v>
      </c>
      <c r="H34" s="621">
        <v>-6895</v>
      </c>
      <c r="I34" s="618">
        <v>-8744</v>
      </c>
      <c r="J34" s="621">
        <v>-10621</v>
      </c>
      <c r="K34" s="621">
        <v>-11097</v>
      </c>
      <c r="L34" s="621">
        <v>-11740</v>
      </c>
      <c r="M34" s="618">
        <v>-12339</v>
      </c>
      <c r="N34" s="621">
        <v>-13694</v>
      </c>
      <c r="O34" s="621">
        <v>-10891</v>
      </c>
      <c r="P34" s="621">
        <v>-11254</v>
      </c>
      <c r="Q34" s="852">
        <v>-11765</v>
      </c>
      <c r="R34" s="234"/>
      <c r="S34" s="234"/>
      <c r="T34" s="234"/>
      <c r="U34" s="238"/>
      <c r="V34" s="234"/>
      <c r="W34" s="234"/>
      <c r="X34" s="238"/>
      <c r="Y34" s="238"/>
      <c r="Z34" s="542"/>
      <c r="AA34" s="542"/>
      <c r="AB34" s="543"/>
      <c r="AC34" s="543"/>
      <c r="AD34" s="565"/>
      <c r="AE34" s="543"/>
      <c r="AF34" s="543"/>
      <c r="AG34" s="542"/>
      <c r="AH34" s="542"/>
      <c r="AI34" s="542"/>
      <c r="AJ34" s="542"/>
      <c r="AK34" s="542"/>
      <c r="AL34" s="605"/>
      <c r="AM34" s="621">
        <v>-24377</v>
      </c>
      <c r="AN34" s="621">
        <v>-35176</v>
      </c>
      <c r="AO34" s="621">
        <v>10799</v>
      </c>
      <c r="AP34" s="615">
        <v>0.3069990902888333</v>
      </c>
      <c r="AQ34" s="551"/>
      <c r="AR34" s="921">
        <v>-45797</v>
      </c>
      <c r="AS34" s="921">
        <v>-47604</v>
      </c>
      <c r="AT34" s="852">
        <v>-47507</v>
      </c>
      <c r="AU34" s="918">
        <v>-45355</v>
      </c>
      <c r="AV34" s="565" t="s">
        <v>214</v>
      </c>
      <c r="AW34" s="565"/>
      <c r="AX34" s="543"/>
      <c r="AY34" s="566"/>
      <c r="AZ34" s="566"/>
      <c r="BA34" s="153"/>
      <c r="BB34" s="3"/>
      <c r="BC34" s="210"/>
      <c r="BD34" s="210"/>
      <c r="BG34" s="210"/>
    </row>
    <row r="35" spans="1:59" s="96" customFormat="1" ht="13.5" thickBot="1">
      <c r="A35" s="143" t="s">
        <v>82</v>
      </c>
      <c r="B35" s="142"/>
      <c r="C35" s="472">
        <v>787</v>
      </c>
      <c r="D35" s="182">
        <v>0.6703577512776832</v>
      </c>
      <c r="E35" s="592"/>
      <c r="F35" s="252"/>
      <c r="G35" s="718">
        <v>-387</v>
      </c>
      <c r="H35" s="718">
        <v>2408</v>
      </c>
      <c r="I35" s="1343">
        <v>-866</v>
      </c>
      <c r="J35" s="718">
        <v>-2195</v>
      </c>
      <c r="K35" s="718">
        <v>-1174</v>
      </c>
      <c r="L35" s="718">
        <v>8684</v>
      </c>
      <c r="M35" s="1343">
        <v>3321</v>
      </c>
      <c r="N35" s="718">
        <v>3442</v>
      </c>
      <c r="O35" s="718">
        <v>-1790</v>
      </c>
      <c r="P35" s="718">
        <v>-3167</v>
      </c>
      <c r="Q35" s="253">
        <v>-158</v>
      </c>
      <c r="R35" s="252" t="e">
        <v>#REF!</v>
      </c>
      <c r="S35" s="252" t="e">
        <v>#REF!</v>
      </c>
      <c r="T35" s="252" t="e">
        <v>#REF!</v>
      </c>
      <c r="U35" s="253" t="e">
        <v>#REF!</v>
      </c>
      <c r="V35" s="252">
        <v>-2915</v>
      </c>
      <c r="W35" s="252">
        <v>-3212</v>
      </c>
      <c r="X35" s="253">
        <v>-1111</v>
      </c>
      <c r="Y35" s="253">
        <v>5489</v>
      </c>
      <c r="Z35" s="544" t="s">
        <v>214</v>
      </c>
      <c r="AA35" s="544" t="s">
        <v>214</v>
      </c>
      <c r="AB35" s="545" t="s">
        <v>214</v>
      </c>
      <c r="AC35" s="545" t="s">
        <v>214</v>
      </c>
      <c r="AD35" s="567" t="s">
        <v>214</v>
      </c>
      <c r="AE35" s="543"/>
      <c r="AF35" s="543"/>
      <c r="AG35" s="542"/>
      <c r="AH35" s="542"/>
      <c r="AI35" s="542"/>
      <c r="AJ35" s="542"/>
      <c r="AK35" s="542"/>
      <c r="AL35" s="605"/>
      <c r="AM35" s="718">
        <v>1155</v>
      </c>
      <c r="AN35" s="718">
        <v>10831</v>
      </c>
      <c r="AO35" s="718">
        <v>-9676</v>
      </c>
      <c r="AP35" s="182">
        <v>-0.8933616471239959</v>
      </c>
      <c r="AQ35" s="551"/>
      <c r="AR35" s="253">
        <v>8636</v>
      </c>
      <c r="AS35" s="1343">
        <v>-1673</v>
      </c>
      <c r="AT35" s="1343">
        <v>-6319</v>
      </c>
      <c r="AU35" s="1347">
        <v>-1749</v>
      </c>
      <c r="AV35" s="567" t="s">
        <v>214</v>
      </c>
      <c r="AW35" s="567" t="s">
        <v>214</v>
      </c>
      <c r="AX35" s="545" t="s">
        <v>214</v>
      </c>
      <c r="AY35" s="568" t="s">
        <v>214</v>
      </c>
      <c r="AZ35" s="568" t="s">
        <v>214</v>
      </c>
      <c r="BA35" s="153"/>
      <c r="BB35" s="3"/>
      <c r="BC35" s="210"/>
      <c r="BD35" s="210"/>
      <c r="BG35" s="210"/>
    </row>
    <row r="36" spans="1:59" s="96" customFormat="1" ht="12.75" customHeight="1" hidden="1">
      <c r="A36" s="8"/>
      <c r="B36" s="7"/>
      <c r="C36" s="38">
        <v>0</v>
      </c>
      <c r="D36" s="30"/>
      <c r="E36" s="41"/>
      <c r="F36" s="234"/>
      <c r="G36" s="234"/>
      <c r="H36" s="234"/>
      <c r="I36" s="238"/>
      <c r="J36" s="234"/>
      <c r="K36" s="234"/>
      <c r="L36" s="234"/>
      <c r="M36" s="238"/>
      <c r="N36" s="234"/>
      <c r="O36" s="234"/>
      <c r="P36" s="234"/>
      <c r="Q36" s="238"/>
      <c r="R36" s="234"/>
      <c r="S36" s="234"/>
      <c r="T36" s="234"/>
      <c r="U36" s="238"/>
      <c r="V36" s="234"/>
      <c r="W36" s="234"/>
      <c r="X36" s="234"/>
      <c r="Y36" s="238"/>
      <c r="Z36" s="234"/>
      <c r="AA36" s="234"/>
      <c r="AB36" s="234"/>
      <c r="AC36" s="238"/>
      <c r="AD36" s="201"/>
      <c r="AE36" s="543"/>
      <c r="AF36" s="543"/>
      <c r="AG36" s="542"/>
      <c r="AH36" s="542"/>
      <c r="AI36" s="542"/>
      <c r="AJ36" s="542"/>
      <c r="AK36" s="542"/>
      <c r="AL36" s="197"/>
      <c r="AM36" s="234"/>
      <c r="AN36" s="234"/>
      <c r="AO36" s="254"/>
      <c r="AP36" s="41"/>
      <c r="AQ36" s="551"/>
      <c r="AR36" s="542"/>
      <c r="AS36" s="542"/>
      <c r="AT36" s="542"/>
      <c r="AU36" s="542"/>
      <c r="AV36" s="201"/>
      <c r="AW36" s="238"/>
      <c r="AX36" s="238"/>
      <c r="AY36" s="254"/>
      <c r="AZ36" s="302"/>
      <c r="BA36" s="153"/>
      <c r="BB36" s="3"/>
      <c r="BC36" s="210"/>
      <c r="BD36" s="210"/>
      <c r="BG36" s="210"/>
    </row>
    <row r="37" spans="1:59" s="96" customFormat="1" ht="12.75" customHeight="1" hidden="1">
      <c r="A37" s="83"/>
      <c r="B37" s="83" t="s">
        <v>6</v>
      </c>
      <c r="C37" s="38">
        <v>0</v>
      </c>
      <c r="D37" s="30">
        <v>0</v>
      </c>
      <c r="E37" s="41"/>
      <c r="F37" s="234"/>
      <c r="G37" s="234"/>
      <c r="H37" s="234"/>
      <c r="I37" s="238"/>
      <c r="J37" s="234"/>
      <c r="K37" s="234"/>
      <c r="L37" s="234"/>
      <c r="M37" s="238"/>
      <c r="N37" s="234"/>
      <c r="O37" s="234"/>
      <c r="P37" s="234"/>
      <c r="Q37" s="238"/>
      <c r="R37" s="234"/>
      <c r="S37" s="234"/>
      <c r="T37" s="234"/>
      <c r="U37" s="238"/>
      <c r="V37" s="234"/>
      <c r="W37" s="234">
        <v>-875</v>
      </c>
      <c r="X37" s="234">
        <v>20</v>
      </c>
      <c r="Y37" s="238">
        <v>2277</v>
      </c>
      <c r="Z37" s="234">
        <v>491</v>
      </c>
      <c r="AA37" s="234">
        <v>-2942</v>
      </c>
      <c r="AB37" s="234">
        <v>1904</v>
      </c>
      <c r="AC37" s="238">
        <v>1525</v>
      </c>
      <c r="AD37" s="201">
        <v>141</v>
      </c>
      <c r="AE37" s="543"/>
      <c r="AF37" s="543"/>
      <c r="AG37" s="542"/>
      <c r="AH37" s="542"/>
      <c r="AI37" s="542"/>
      <c r="AJ37" s="542"/>
      <c r="AK37" s="542"/>
      <c r="AL37" s="197"/>
      <c r="AM37" s="234"/>
      <c r="AN37" s="234"/>
      <c r="AO37" s="254">
        <v>1422</v>
      </c>
      <c r="AP37" s="41" t="e">
        <v>#DIV/0!</v>
      </c>
      <c r="AQ37" s="551"/>
      <c r="AR37" s="542"/>
      <c r="AS37" s="542"/>
      <c r="AT37" s="542">
        <v>1422</v>
      </c>
      <c r="AU37" s="542"/>
      <c r="AV37" s="201">
        <v>932</v>
      </c>
      <c r="AW37" s="238">
        <v>-1912</v>
      </c>
      <c r="AX37" s="238">
        <v>-4538</v>
      </c>
      <c r="AY37" s="254">
        <v>-3087</v>
      </c>
      <c r="AZ37" s="302">
        <v>-2784</v>
      </c>
      <c r="BA37" s="153"/>
      <c r="BB37" s="3"/>
      <c r="BC37" s="210"/>
      <c r="BD37" s="210"/>
      <c r="BG37" s="210"/>
    </row>
    <row r="38" spans="1:59" s="96" customFormat="1" ht="12.75" customHeight="1" hidden="1">
      <c r="A38" s="83"/>
      <c r="B38" s="83"/>
      <c r="C38" s="38">
        <v>0</v>
      </c>
      <c r="D38" s="30"/>
      <c r="E38" s="41"/>
      <c r="F38" s="240"/>
      <c r="G38" s="240"/>
      <c r="H38" s="240"/>
      <c r="I38" s="238"/>
      <c r="J38" s="240"/>
      <c r="K38" s="240"/>
      <c r="L38" s="240"/>
      <c r="M38" s="238"/>
      <c r="N38" s="234"/>
      <c r="O38" s="240"/>
      <c r="P38" s="240"/>
      <c r="Q38" s="238"/>
      <c r="R38" s="234"/>
      <c r="S38" s="240"/>
      <c r="T38" s="234"/>
      <c r="U38" s="238"/>
      <c r="V38" s="234"/>
      <c r="W38" s="240"/>
      <c r="X38" s="234"/>
      <c r="Y38" s="238"/>
      <c r="Z38" s="234"/>
      <c r="AA38" s="234"/>
      <c r="AB38" s="234"/>
      <c r="AC38" s="238"/>
      <c r="AD38" s="201"/>
      <c r="AE38" s="543"/>
      <c r="AF38" s="543"/>
      <c r="AG38" s="542"/>
      <c r="AH38" s="542"/>
      <c r="AI38" s="542"/>
      <c r="AJ38" s="542"/>
      <c r="AK38" s="542"/>
      <c r="AL38" s="197"/>
      <c r="AM38" s="234"/>
      <c r="AN38" s="240"/>
      <c r="AO38" s="254"/>
      <c r="AP38" s="41"/>
      <c r="AQ38" s="551"/>
      <c r="AR38" s="542"/>
      <c r="AS38" s="542"/>
      <c r="AT38" s="542"/>
      <c r="AU38" s="542"/>
      <c r="AV38" s="201"/>
      <c r="AW38" s="238"/>
      <c r="AX38" s="238"/>
      <c r="AY38" s="254"/>
      <c r="AZ38" s="302"/>
      <c r="BA38" s="153"/>
      <c r="BB38" s="3"/>
      <c r="BC38" s="210"/>
      <c r="BD38" s="210"/>
      <c r="BG38" s="210"/>
    </row>
    <row r="39" spans="1:59" s="96" customFormat="1" ht="12.75" customHeight="1" hidden="1" thickBot="1">
      <c r="A39" s="143" t="s">
        <v>83</v>
      </c>
      <c r="B39" s="83"/>
      <c r="C39" s="38">
        <v>0</v>
      </c>
      <c r="D39" s="182" t="e">
        <v>#VALUE!</v>
      </c>
      <c r="E39" s="41"/>
      <c r="F39" s="478"/>
      <c r="G39" s="478"/>
      <c r="H39" s="478"/>
      <c r="I39" s="253"/>
      <c r="J39" s="478"/>
      <c r="K39" s="478"/>
      <c r="L39" s="478"/>
      <c r="M39" s="253"/>
      <c r="N39" s="252"/>
      <c r="O39" s="478"/>
      <c r="P39" s="478"/>
      <c r="Q39" s="253"/>
      <c r="R39" s="252"/>
      <c r="S39" s="478"/>
      <c r="T39" s="252"/>
      <c r="U39" s="253"/>
      <c r="V39" s="252">
        <v>-2915</v>
      </c>
      <c r="W39" s="478">
        <v>-2337</v>
      </c>
      <c r="X39" s="252">
        <v>-1131</v>
      </c>
      <c r="Y39" s="253">
        <v>3212</v>
      </c>
      <c r="Z39" s="252" t="e">
        <v>#VALUE!</v>
      </c>
      <c r="AA39" s="252" t="e">
        <v>#VALUE!</v>
      </c>
      <c r="AB39" s="252" t="e">
        <v>#VALUE!</v>
      </c>
      <c r="AC39" s="253" t="e">
        <v>#VALUE!</v>
      </c>
      <c r="AD39" s="209" t="e">
        <v>#VALUE!</v>
      </c>
      <c r="AE39" s="545" t="s">
        <v>214</v>
      </c>
      <c r="AF39" s="545" t="s">
        <v>214</v>
      </c>
      <c r="AG39" s="544"/>
      <c r="AH39" s="544"/>
      <c r="AI39" s="544"/>
      <c r="AJ39" s="544"/>
      <c r="AK39" s="544"/>
      <c r="AL39" s="197"/>
      <c r="AM39" s="252"/>
      <c r="AN39" s="478"/>
      <c r="AO39" s="384">
        <v>-3171</v>
      </c>
      <c r="AP39" s="560" t="e">
        <v>#DIV/0!</v>
      </c>
      <c r="AQ39" s="551"/>
      <c r="AR39" s="544"/>
      <c r="AS39" s="544"/>
      <c r="AT39" s="544">
        <v>-3171</v>
      </c>
      <c r="AU39" s="544"/>
      <c r="AV39" s="209" t="e">
        <v>#VALUE!</v>
      </c>
      <c r="AW39" s="253" t="e">
        <v>#VALUE!</v>
      </c>
      <c r="AX39" s="253" t="e">
        <v>#VALUE!</v>
      </c>
      <c r="AY39" s="384" t="e">
        <v>#VALUE!</v>
      </c>
      <c r="AZ39" s="370" t="e">
        <v>#VALUE!</v>
      </c>
      <c r="BA39" s="153"/>
      <c r="BB39" s="3"/>
      <c r="BC39" s="210"/>
      <c r="BD39" s="210"/>
      <c r="BG39" s="210"/>
    </row>
    <row r="40" spans="1:59" ht="12.75" customHeight="1" thickTop="1">
      <c r="A40" s="144"/>
      <c r="B40" s="144"/>
      <c r="C40" s="31"/>
      <c r="D40" s="41"/>
      <c r="E40" s="41"/>
      <c r="F40" s="41"/>
      <c r="G40" s="41"/>
      <c r="H40" s="41"/>
      <c r="I40" s="7"/>
      <c r="J40" s="41"/>
      <c r="K40" s="41"/>
      <c r="L40" s="41"/>
      <c r="M40" s="7"/>
      <c r="N40" s="41"/>
      <c r="O40" s="41"/>
      <c r="P40" s="41"/>
      <c r="Q40" s="7"/>
      <c r="R40" s="41"/>
      <c r="S40" s="41"/>
      <c r="T40" s="41"/>
      <c r="U40" s="7"/>
      <c r="V40" s="41"/>
      <c r="W40" s="41"/>
      <c r="X40" s="41"/>
      <c r="Y40" s="7"/>
      <c r="Z40" s="41"/>
      <c r="AA40" s="41"/>
      <c r="AB40" s="41"/>
      <c r="AC40" s="7"/>
      <c r="AD40" s="144"/>
      <c r="AE40" s="144"/>
      <c r="AF40" s="144"/>
      <c r="AG40" s="212"/>
      <c r="AH40" s="212"/>
      <c r="AI40" s="212"/>
      <c r="AJ40" s="212"/>
      <c r="AK40" s="212"/>
      <c r="AL40" s="7"/>
      <c r="AM40" s="41"/>
      <c r="AN40" s="41"/>
      <c r="AO40" s="31"/>
      <c r="AP40" s="41"/>
      <c r="AQ40" s="148"/>
      <c r="AR40" s="148"/>
      <c r="AS40" s="148"/>
      <c r="AT40" s="148"/>
      <c r="AU40" s="148"/>
      <c r="AV40" s="148"/>
      <c r="AW40" s="31"/>
      <c r="AX40" s="31"/>
      <c r="AY40" s="153"/>
      <c r="AZ40" s="153"/>
      <c r="BA40" s="153"/>
      <c r="BB40" s="3"/>
      <c r="BC40" s="3"/>
      <c r="BD40" s="3"/>
      <c r="BG40" s="3"/>
    </row>
    <row r="41" spans="1:59" ht="12.75" customHeight="1">
      <c r="A41" s="145" t="s">
        <v>100</v>
      </c>
      <c r="B41" s="146"/>
      <c r="C41" s="31">
        <v>-13</v>
      </c>
      <c r="D41" s="41">
        <v>-0.0391566265060241</v>
      </c>
      <c r="E41" s="41"/>
      <c r="F41" s="31"/>
      <c r="G41" s="31">
        <v>319</v>
      </c>
      <c r="H41" s="31">
        <v>320</v>
      </c>
      <c r="I41" s="31">
        <v>323</v>
      </c>
      <c r="J41" s="31">
        <v>332</v>
      </c>
      <c r="K41" s="31">
        <v>332</v>
      </c>
      <c r="L41" s="31">
        <v>343</v>
      </c>
      <c r="M41" s="31">
        <v>376</v>
      </c>
      <c r="N41" s="31">
        <v>378</v>
      </c>
      <c r="O41" s="31">
        <v>386</v>
      </c>
      <c r="P41" s="31">
        <v>384</v>
      </c>
      <c r="Q41" s="31">
        <v>382</v>
      </c>
      <c r="R41" s="31">
        <v>373</v>
      </c>
      <c r="S41" s="31">
        <v>365</v>
      </c>
      <c r="T41" s="31">
        <v>369</v>
      </c>
      <c r="U41" s="31">
        <v>371</v>
      </c>
      <c r="V41" s="31">
        <v>364</v>
      </c>
      <c r="W41" s="31">
        <v>360</v>
      </c>
      <c r="X41" s="31">
        <v>359</v>
      </c>
      <c r="Y41" s="31">
        <v>352</v>
      </c>
      <c r="Z41" s="31">
        <v>356</v>
      </c>
      <c r="AA41" s="31">
        <v>365</v>
      </c>
      <c r="AB41" s="31">
        <v>393</v>
      </c>
      <c r="AC41" s="31">
        <v>393</v>
      </c>
      <c r="AD41" s="31">
        <v>380</v>
      </c>
      <c r="AE41" s="31">
        <v>373</v>
      </c>
      <c r="AF41" s="31">
        <v>370</v>
      </c>
      <c r="AG41" s="31">
        <v>366</v>
      </c>
      <c r="AH41" s="31">
        <v>360</v>
      </c>
      <c r="AI41" s="31">
        <v>348</v>
      </c>
      <c r="AJ41" s="31">
        <v>349</v>
      </c>
      <c r="AK41" s="31">
        <v>343</v>
      </c>
      <c r="AL41" s="148"/>
      <c r="AM41" s="31">
        <v>319</v>
      </c>
      <c r="AN41" s="31">
        <v>332</v>
      </c>
      <c r="AO41" s="31">
        <v>-13</v>
      </c>
      <c r="AP41" s="41">
        <v>-0.0391566265060241</v>
      </c>
      <c r="AQ41" s="148"/>
      <c r="AR41" s="31">
        <v>332</v>
      </c>
      <c r="AS41" s="31">
        <v>378</v>
      </c>
      <c r="AT41" s="31">
        <v>373</v>
      </c>
      <c r="AU41" s="31">
        <v>364</v>
      </c>
      <c r="AV41" s="31">
        <v>356</v>
      </c>
      <c r="AW41" s="31">
        <v>380</v>
      </c>
      <c r="AX41" s="31">
        <v>360</v>
      </c>
      <c r="AY41" s="153">
        <v>335</v>
      </c>
      <c r="AZ41" s="153">
        <v>324</v>
      </c>
      <c r="BA41" s="153">
        <v>296</v>
      </c>
      <c r="BB41" s="3"/>
      <c r="BC41" s="3"/>
      <c r="BD41" s="3"/>
      <c r="BG41" s="3"/>
    </row>
    <row r="42" spans="1:59" ht="12.75" customHeight="1">
      <c r="A42" s="7"/>
      <c r="B42" s="7"/>
      <c r="C42" s="148"/>
      <c r="D42" s="148"/>
      <c r="E42" s="148"/>
      <c r="F42" s="148"/>
      <c r="G42" s="148"/>
      <c r="H42" s="148"/>
      <c r="I42" s="7"/>
      <c r="J42" s="148"/>
      <c r="K42" s="148"/>
      <c r="L42" s="148"/>
      <c r="M42" s="7"/>
      <c r="N42" s="148"/>
      <c r="O42" s="148"/>
      <c r="P42" s="148"/>
      <c r="Q42" s="7"/>
      <c r="R42" s="148"/>
      <c r="S42" s="148"/>
      <c r="T42" s="148"/>
      <c r="U42" s="7"/>
      <c r="V42" s="148"/>
      <c r="W42" s="148"/>
      <c r="X42" s="148"/>
      <c r="Y42" s="7"/>
      <c r="Z42" s="148"/>
      <c r="AA42" s="148"/>
      <c r="AB42" s="148"/>
      <c r="AC42" s="7"/>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272"/>
      <c r="AZ42" s="272"/>
      <c r="BA42" s="272"/>
      <c r="BB42" s="3"/>
      <c r="BC42" s="3"/>
      <c r="BD42" s="3"/>
      <c r="BG42" s="3"/>
    </row>
    <row r="43" spans="1:59" ht="18" customHeight="1">
      <c r="A43" s="12" t="s">
        <v>324</v>
      </c>
      <c r="B43" s="7"/>
      <c r="C43" s="83"/>
      <c r="D43" s="83"/>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83"/>
      <c r="AG43" s="83"/>
      <c r="AH43" s="83"/>
      <c r="AI43" s="83"/>
      <c r="AJ43" s="83"/>
      <c r="AK43" s="83"/>
      <c r="AL43" s="83"/>
      <c r="AM43" s="148"/>
      <c r="AN43" s="148"/>
      <c r="AO43" s="148"/>
      <c r="AP43" s="148"/>
      <c r="AQ43" s="83"/>
      <c r="AR43" s="83"/>
      <c r="AS43" s="83"/>
      <c r="AT43" s="83"/>
      <c r="AU43" s="83"/>
      <c r="AV43" s="83"/>
      <c r="AW43" s="83"/>
      <c r="AX43" s="83"/>
      <c r="AY43" s="357"/>
      <c r="AZ43" s="357"/>
      <c r="BA43" s="357"/>
      <c r="BB43" s="3"/>
      <c r="BC43" s="3"/>
      <c r="BD43" s="3"/>
      <c r="BG43" s="3"/>
    </row>
    <row r="44" spans="1:59" ht="12.75" customHeight="1">
      <c r="A44" s="193"/>
      <c r="B44" s="7"/>
      <c r="C44" s="83"/>
      <c r="D44" s="83"/>
      <c r="E44" s="148"/>
      <c r="F44" s="148"/>
      <c r="G44" s="148"/>
      <c r="H44" s="148"/>
      <c r="I44" s="148"/>
      <c r="J44" s="148"/>
      <c r="K44" s="148"/>
      <c r="L44" s="148"/>
      <c r="M44" s="148"/>
      <c r="N44" s="468"/>
      <c r="O44" s="148"/>
      <c r="P44" s="148"/>
      <c r="Q44" s="148"/>
      <c r="R44" s="468"/>
      <c r="S44" s="148"/>
      <c r="T44" s="468"/>
      <c r="U44" s="148"/>
      <c r="V44" s="468"/>
      <c r="W44" s="148"/>
      <c r="X44" s="468"/>
      <c r="Y44" s="148"/>
      <c r="Z44" s="468"/>
      <c r="AA44" s="148"/>
      <c r="AB44" s="148"/>
      <c r="AC44" s="148"/>
      <c r="AD44" s="148"/>
      <c r="AE44" s="148"/>
      <c r="AF44" s="83"/>
      <c r="AG44" s="83"/>
      <c r="AH44" s="83"/>
      <c r="AI44" s="83"/>
      <c r="AJ44" s="83"/>
      <c r="AK44" s="83"/>
      <c r="AL44" s="83"/>
      <c r="AM44" s="468"/>
      <c r="AN44" s="148"/>
      <c r="AO44" s="148"/>
      <c r="AP44" s="148"/>
      <c r="AQ44" s="83"/>
      <c r="AR44" s="83"/>
      <c r="AS44" s="83"/>
      <c r="AT44" s="83"/>
      <c r="AU44" s="83"/>
      <c r="AV44" s="83"/>
      <c r="AW44" s="83"/>
      <c r="AX44" s="83"/>
      <c r="AY44" s="357"/>
      <c r="AZ44" s="357"/>
      <c r="BA44" s="357"/>
      <c r="BB44" s="3"/>
      <c r="BC44" s="3"/>
      <c r="BD44" s="3"/>
      <c r="BG44" s="3"/>
    </row>
    <row r="45" spans="1:59" ht="12.75" customHeight="1">
      <c r="A45" s="6"/>
      <c r="B45" s="689"/>
      <c r="C45" s="1437" t="s">
        <v>497</v>
      </c>
      <c r="D45" s="1438"/>
      <c r="E45" s="259"/>
      <c r="F45" s="477"/>
      <c r="G45" s="477"/>
      <c r="H45" s="477"/>
      <c r="I45" s="19"/>
      <c r="J45" s="477"/>
      <c r="K45" s="477"/>
      <c r="L45" s="477"/>
      <c r="M45" s="19"/>
      <c r="N45" s="17"/>
      <c r="O45" s="18"/>
      <c r="P45" s="477"/>
      <c r="Q45" s="19"/>
      <c r="R45" s="17"/>
      <c r="S45" s="18"/>
      <c r="T45" s="477"/>
      <c r="U45" s="19"/>
      <c r="W45" s="18"/>
      <c r="X45" s="2"/>
      <c r="Y45" s="19"/>
      <c r="Z45" s="18"/>
      <c r="AB45" s="477"/>
      <c r="AC45" s="19"/>
      <c r="AD45" s="18"/>
      <c r="AE45" s="18"/>
      <c r="AF45" s="18"/>
      <c r="AG45" s="18"/>
      <c r="AH45" s="22"/>
      <c r="AI45" s="19"/>
      <c r="AJ45" s="19"/>
      <c r="AK45" s="19"/>
      <c r="AL45" s="24"/>
      <c r="AM45" s="725" t="s">
        <v>406</v>
      </c>
      <c r="AN45" s="711"/>
      <c r="AO45" s="711" t="s">
        <v>480</v>
      </c>
      <c r="AP45" s="712"/>
      <c r="AQ45" s="15"/>
      <c r="AR45" s="88"/>
      <c r="AS45" s="88"/>
      <c r="AT45" s="88"/>
      <c r="AU45" s="88"/>
      <c r="AV45" s="88"/>
      <c r="AW45" s="196"/>
      <c r="AX45" s="194"/>
      <c r="AY45" s="88"/>
      <c r="AZ45" s="88"/>
      <c r="BA45" s="88"/>
      <c r="BB45" s="25"/>
      <c r="BC45" s="3"/>
      <c r="BD45" s="3"/>
      <c r="BG45" s="3"/>
    </row>
    <row r="46" spans="1:59" ht="12.75" customHeight="1">
      <c r="A46" s="6" t="s">
        <v>107</v>
      </c>
      <c r="B46" s="7"/>
      <c r="C46" s="1439" t="s">
        <v>41</v>
      </c>
      <c r="D46" s="1440"/>
      <c r="E46" s="603"/>
      <c r="F46" s="21" t="s">
        <v>431</v>
      </c>
      <c r="G46" s="21" t="s">
        <v>430</v>
      </c>
      <c r="H46" s="21" t="s">
        <v>429</v>
      </c>
      <c r="I46" s="14" t="s">
        <v>427</v>
      </c>
      <c r="J46" s="21" t="s">
        <v>362</v>
      </c>
      <c r="K46" s="21" t="s">
        <v>363</v>
      </c>
      <c r="L46" s="21" t="s">
        <v>364</v>
      </c>
      <c r="M46" s="14" t="s">
        <v>365</v>
      </c>
      <c r="N46" s="20" t="s">
        <v>277</v>
      </c>
      <c r="O46" s="21" t="s">
        <v>278</v>
      </c>
      <c r="P46" s="21" t="s">
        <v>279</v>
      </c>
      <c r="Q46" s="14" t="s">
        <v>276</v>
      </c>
      <c r="R46" s="20" t="s">
        <v>222</v>
      </c>
      <c r="S46" s="21" t="s">
        <v>223</v>
      </c>
      <c r="T46" s="21" t="s">
        <v>224</v>
      </c>
      <c r="U46" s="14" t="s">
        <v>225</v>
      </c>
      <c r="V46" s="21" t="s">
        <v>141</v>
      </c>
      <c r="W46" s="21" t="s">
        <v>140</v>
      </c>
      <c r="X46" s="21" t="s">
        <v>139</v>
      </c>
      <c r="Y46" s="14" t="s">
        <v>138</v>
      </c>
      <c r="Z46" s="21" t="s">
        <v>91</v>
      </c>
      <c r="AA46" s="21" t="s">
        <v>92</v>
      </c>
      <c r="AB46" s="21" t="s">
        <v>93</v>
      </c>
      <c r="AC46" s="14" t="s">
        <v>32</v>
      </c>
      <c r="AD46" s="21" t="s">
        <v>33</v>
      </c>
      <c r="AE46" s="21" t="s">
        <v>34</v>
      </c>
      <c r="AF46" s="21" t="s">
        <v>35</v>
      </c>
      <c r="AG46" s="21" t="s">
        <v>36</v>
      </c>
      <c r="AH46" s="23" t="s">
        <v>37</v>
      </c>
      <c r="AI46" s="14" t="s">
        <v>38</v>
      </c>
      <c r="AJ46" s="14" t="s">
        <v>39</v>
      </c>
      <c r="AK46" s="14" t="s">
        <v>40</v>
      </c>
      <c r="AL46" s="259"/>
      <c r="AM46" s="21" t="s">
        <v>430</v>
      </c>
      <c r="AN46" s="21" t="s">
        <v>363</v>
      </c>
      <c r="AO46" s="1454" t="s">
        <v>41</v>
      </c>
      <c r="AP46" s="1440"/>
      <c r="AQ46" s="197"/>
      <c r="AR46" s="20" t="s">
        <v>367</v>
      </c>
      <c r="AS46" s="20" t="s">
        <v>285</v>
      </c>
      <c r="AT46" s="20" t="s">
        <v>143</v>
      </c>
      <c r="AU46" s="20" t="s">
        <v>142</v>
      </c>
      <c r="AV46" s="20" t="s">
        <v>45</v>
      </c>
      <c r="AW46" s="20" t="s">
        <v>42</v>
      </c>
      <c r="AX46" s="23" t="s">
        <v>43</v>
      </c>
      <c r="AY46" s="23" t="s">
        <v>165</v>
      </c>
      <c r="AZ46" s="23" t="s">
        <v>166</v>
      </c>
      <c r="BA46" s="23" t="s">
        <v>167</v>
      </c>
      <c r="BB46" s="25"/>
      <c r="BC46" s="3"/>
      <c r="BD46" s="3"/>
      <c r="BG46" s="3"/>
    </row>
    <row r="47" spans="1:59" ht="12.75" customHeight="1">
      <c r="A47" s="147"/>
      <c r="B47" s="148" t="s">
        <v>4</v>
      </c>
      <c r="C47" s="464">
        <v>453</v>
      </c>
      <c r="D47" s="30">
        <v>0.09988974641675855</v>
      </c>
      <c r="E47" s="89"/>
      <c r="F47" s="380">
        <v>0</v>
      </c>
      <c r="G47" s="380">
        <v>4988</v>
      </c>
      <c r="H47" s="610">
        <v>6372</v>
      </c>
      <c r="I47" s="855">
        <v>2205</v>
      </c>
      <c r="J47" s="610">
        <v>5045</v>
      </c>
      <c r="K47" s="610">
        <v>4535</v>
      </c>
      <c r="L47" s="610">
        <v>10003</v>
      </c>
      <c r="M47" s="855">
        <v>4894</v>
      </c>
      <c r="N47" s="610">
        <v>10101</v>
      </c>
      <c r="O47" s="610">
        <v>9737</v>
      </c>
      <c r="P47" s="610">
        <v>2636</v>
      </c>
      <c r="Q47" s="855">
        <v>7623</v>
      </c>
      <c r="R47" s="610">
        <v>11120</v>
      </c>
      <c r="S47" s="610">
        <v>8477</v>
      </c>
      <c r="T47" s="610">
        <v>7783</v>
      </c>
      <c r="U47" s="855">
        <v>4558</v>
      </c>
      <c r="V47" s="610">
        <v>4647</v>
      </c>
      <c r="W47" s="610">
        <v>5374</v>
      </c>
      <c r="X47" s="855">
        <v>5131</v>
      </c>
      <c r="Y47" s="855">
        <v>11781</v>
      </c>
      <c r="Z47" s="609">
        <v>4769</v>
      </c>
      <c r="AA47" s="610">
        <v>4406</v>
      </c>
      <c r="AB47" s="610">
        <v>8649</v>
      </c>
      <c r="AC47" s="855">
        <v>10062</v>
      </c>
      <c r="AD47" s="934">
        <v>11018</v>
      </c>
      <c r="AE47" s="934">
        <v>12605</v>
      </c>
      <c r="AF47" s="934">
        <v>12383</v>
      </c>
      <c r="AG47" s="931">
        <v>14764</v>
      </c>
      <c r="AH47" s="935">
        <v>10416</v>
      </c>
      <c r="AI47" s="931">
        <v>8055</v>
      </c>
      <c r="AJ47" s="931">
        <v>7372</v>
      </c>
      <c r="AK47" s="931">
        <v>8735</v>
      </c>
      <c r="AL47" s="662"/>
      <c r="AM47" s="621">
        <v>13565</v>
      </c>
      <c r="AN47" s="621">
        <v>19432</v>
      </c>
      <c r="AO47" s="391">
        <v>-5867</v>
      </c>
      <c r="AP47" s="392">
        <v>-0.3019246603540552</v>
      </c>
      <c r="AQ47" s="83"/>
      <c r="AR47" s="177">
        <v>24477</v>
      </c>
      <c r="AS47" s="177">
        <v>30097</v>
      </c>
      <c r="AT47" s="662">
        <v>31938</v>
      </c>
      <c r="AU47" s="662">
        <v>26933</v>
      </c>
      <c r="AV47" s="662">
        <v>27886</v>
      </c>
      <c r="AW47" s="201">
        <v>50770</v>
      </c>
      <c r="AX47" s="201">
        <v>34578</v>
      </c>
      <c r="AY47" s="368">
        <v>24555</v>
      </c>
      <c r="AZ47" s="368">
        <v>14948</v>
      </c>
      <c r="BA47" s="368">
        <v>14416</v>
      </c>
      <c r="BB47" s="3"/>
      <c r="BC47" s="3"/>
      <c r="BD47" s="3"/>
      <c r="BG47" s="3"/>
    </row>
    <row r="48" spans="1:59" ht="12.75" customHeight="1">
      <c r="A48" s="83"/>
      <c r="B48" s="148" t="s">
        <v>90</v>
      </c>
      <c r="C48" s="84">
        <v>-2693</v>
      </c>
      <c r="D48" s="45">
        <v>-0.16024039033678447</v>
      </c>
      <c r="E48" s="606"/>
      <c r="F48" s="466">
        <v>0</v>
      </c>
      <c r="G48" s="466">
        <v>14113</v>
      </c>
      <c r="H48" s="488">
        <v>10859</v>
      </c>
      <c r="I48" s="855">
        <v>11815</v>
      </c>
      <c r="J48" s="488">
        <v>17861</v>
      </c>
      <c r="K48" s="488">
        <v>16806</v>
      </c>
      <c r="L48" s="488">
        <v>12159</v>
      </c>
      <c r="M48" s="855">
        <v>13912</v>
      </c>
      <c r="N48" s="488">
        <v>20078</v>
      </c>
      <c r="O48" s="488">
        <v>17418</v>
      </c>
      <c r="P48" s="488">
        <v>15544</v>
      </c>
      <c r="Q48" s="855">
        <v>19546</v>
      </c>
      <c r="R48" s="488">
        <v>26472</v>
      </c>
      <c r="S48" s="488">
        <v>22610</v>
      </c>
      <c r="T48" s="488">
        <v>18461</v>
      </c>
      <c r="U48" s="855">
        <v>18221</v>
      </c>
      <c r="V48" s="488">
        <v>19487</v>
      </c>
      <c r="W48" s="488">
        <v>20730</v>
      </c>
      <c r="X48" s="762">
        <v>16652</v>
      </c>
      <c r="Y48" s="855">
        <v>17168</v>
      </c>
      <c r="Z48" s="488">
        <v>16684</v>
      </c>
      <c r="AA48" s="488">
        <v>15548</v>
      </c>
      <c r="AB48" s="488">
        <v>16744</v>
      </c>
      <c r="AC48" s="855">
        <v>19476</v>
      </c>
      <c r="AD48" s="621">
        <v>14771</v>
      </c>
      <c r="AE48" s="621">
        <v>20337</v>
      </c>
      <c r="AF48" s="621">
        <v>18321</v>
      </c>
      <c r="AG48" s="618">
        <v>23723</v>
      </c>
      <c r="AH48" s="782">
        <v>20053</v>
      </c>
      <c r="AI48" s="618">
        <v>19182</v>
      </c>
      <c r="AJ48" s="618">
        <v>18732</v>
      </c>
      <c r="AK48" s="618">
        <v>20213</v>
      </c>
      <c r="AL48" s="662"/>
      <c r="AM48" s="621">
        <v>36787</v>
      </c>
      <c r="AN48" s="621">
        <v>42877</v>
      </c>
      <c r="AO48" s="153">
        <v>-6090</v>
      </c>
      <c r="AP48" s="45">
        <v>-0.14203419082491778</v>
      </c>
      <c r="AQ48" s="83"/>
      <c r="AR48" s="177">
        <v>60738</v>
      </c>
      <c r="AS48" s="177">
        <v>72586</v>
      </c>
      <c r="AT48" s="662">
        <v>85764</v>
      </c>
      <c r="AU48" s="662">
        <v>74037</v>
      </c>
      <c r="AV48" s="662">
        <v>68452</v>
      </c>
      <c r="AW48" s="201">
        <v>77152</v>
      </c>
      <c r="AX48" s="201">
        <v>78180</v>
      </c>
      <c r="AY48" s="43">
        <v>68726</v>
      </c>
      <c r="AZ48" s="43">
        <v>58783</v>
      </c>
      <c r="BA48" s="43">
        <v>66472</v>
      </c>
      <c r="BB48" s="3"/>
      <c r="BC48" s="3"/>
      <c r="BD48" s="3"/>
      <c r="BG48" s="3"/>
    </row>
    <row r="49" spans="1:59" ht="24">
      <c r="A49" s="83"/>
      <c r="B49" s="546" t="s">
        <v>244</v>
      </c>
      <c r="C49" s="84">
        <v>3146</v>
      </c>
      <c r="D49" s="45">
        <v>0.25637682340477547</v>
      </c>
      <c r="E49" s="606"/>
      <c r="F49" s="466">
        <v>0</v>
      </c>
      <c r="G49" s="466">
        <v>-9125</v>
      </c>
      <c r="H49" s="488">
        <v>-4487</v>
      </c>
      <c r="I49" s="855">
        <v>-9610</v>
      </c>
      <c r="J49" s="488">
        <v>-12816</v>
      </c>
      <c r="K49" s="488">
        <v>-12271</v>
      </c>
      <c r="L49" s="488">
        <v>-2156</v>
      </c>
      <c r="M49" s="855">
        <v>-9018</v>
      </c>
      <c r="N49" s="488">
        <v>-9977</v>
      </c>
      <c r="O49" s="488">
        <v>-7681</v>
      </c>
      <c r="P49" s="488">
        <v>-12908</v>
      </c>
      <c r="Q49" s="855">
        <v>-11923</v>
      </c>
      <c r="R49" s="488">
        <v>-15352</v>
      </c>
      <c r="S49" s="488">
        <v>-14133</v>
      </c>
      <c r="T49" s="488">
        <v>-10678</v>
      </c>
      <c r="U49" s="855">
        <v>-13663</v>
      </c>
      <c r="V49" s="488">
        <v>-14840</v>
      </c>
      <c r="W49" s="488">
        <v>-15356</v>
      </c>
      <c r="X49" s="762">
        <v>-11521</v>
      </c>
      <c r="Y49" s="855">
        <v>-5387</v>
      </c>
      <c r="Z49" s="488">
        <v>-11915</v>
      </c>
      <c r="AA49" s="488">
        <v>-11142</v>
      </c>
      <c r="AB49" s="488">
        <v>-8095</v>
      </c>
      <c r="AC49" s="855">
        <v>-9414</v>
      </c>
      <c r="AD49" s="621">
        <v>-3753</v>
      </c>
      <c r="AE49" s="621">
        <v>-7732</v>
      </c>
      <c r="AF49" s="621">
        <v>-5938</v>
      </c>
      <c r="AG49" s="618">
        <v>-8959</v>
      </c>
      <c r="AH49" s="782">
        <v>-9637</v>
      </c>
      <c r="AI49" s="618">
        <v>-11127</v>
      </c>
      <c r="AJ49" s="618">
        <v>-11360</v>
      </c>
      <c r="AK49" s="618">
        <v>-11478</v>
      </c>
      <c r="AL49" s="662"/>
      <c r="AM49" s="488">
        <v>-23222</v>
      </c>
      <c r="AN49" s="488">
        <v>-23445</v>
      </c>
      <c r="AO49" s="153">
        <v>223</v>
      </c>
      <c r="AP49" s="45">
        <v>0.009511622947323523</v>
      </c>
      <c r="AQ49" s="83"/>
      <c r="AR49" s="177">
        <v>-36261</v>
      </c>
      <c r="AS49" s="177">
        <v>-42489</v>
      </c>
      <c r="AT49" s="662">
        <v>-53826</v>
      </c>
      <c r="AU49" s="662">
        <v>-47104</v>
      </c>
      <c r="AV49" s="662">
        <v>-40566</v>
      </c>
      <c r="AW49" s="201">
        <v>-26382</v>
      </c>
      <c r="AX49" s="201">
        <v>-43602</v>
      </c>
      <c r="AY49" s="43">
        <v>-44171</v>
      </c>
      <c r="AZ49" s="43">
        <v>-43835</v>
      </c>
      <c r="BA49" s="43">
        <v>-52056</v>
      </c>
      <c r="BB49" s="3"/>
      <c r="BC49" s="3"/>
      <c r="BD49" s="3"/>
      <c r="BG49" s="3"/>
    </row>
    <row r="50" spans="1:59" ht="12.75">
      <c r="A50" s="83"/>
      <c r="B50" s="546" t="s">
        <v>482</v>
      </c>
      <c r="C50" s="154">
        <v>787</v>
      </c>
      <c r="D50" s="155">
        <v>0.6703577512776832</v>
      </c>
      <c r="E50" s="606"/>
      <c r="F50" s="474">
        <v>0</v>
      </c>
      <c r="G50" s="474">
        <v>-387</v>
      </c>
      <c r="H50" s="611">
        <v>2408</v>
      </c>
      <c r="I50" s="1327">
        <v>-866</v>
      </c>
      <c r="J50" s="1339">
        <v>-2195</v>
      </c>
      <c r="K50" s="1339">
        <v>-1174</v>
      </c>
      <c r="L50" s="1339">
        <v>9584</v>
      </c>
      <c r="M50" s="1327">
        <v>3321</v>
      </c>
      <c r="N50" s="1339">
        <v>3717</v>
      </c>
      <c r="O50" s="1339">
        <v>3210</v>
      </c>
      <c r="P50" s="1339">
        <v>-1654</v>
      </c>
      <c r="Q50" s="1327">
        <v>-158</v>
      </c>
      <c r="R50" s="1339" t="e">
        <v>#REF!</v>
      </c>
      <c r="S50" s="1339" t="e">
        <v>#REF!</v>
      </c>
      <c r="T50" s="1339"/>
      <c r="U50" s="1327"/>
      <c r="V50" s="1339"/>
      <c r="W50" s="1339"/>
      <c r="X50" s="860"/>
      <c r="Y50" s="1327"/>
      <c r="Z50" s="1339"/>
      <c r="AA50" s="1339"/>
      <c r="AB50" s="1339"/>
      <c r="AC50" s="1327"/>
      <c r="AD50" s="859"/>
      <c r="AE50" s="859"/>
      <c r="AF50" s="859"/>
      <c r="AG50" s="941"/>
      <c r="AH50" s="1233"/>
      <c r="AI50" s="941"/>
      <c r="AJ50" s="941"/>
      <c r="AK50" s="941"/>
      <c r="AL50" s="662"/>
      <c r="AM50" s="1339">
        <v>1155</v>
      </c>
      <c r="AN50" s="1339">
        <v>11731</v>
      </c>
      <c r="AO50" s="393">
        <v>-10576</v>
      </c>
      <c r="AP50" s="552">
        <v>-0.9015429204671384</v>
      </c>
      <c r="AQ50" s="83"/>
      <c r="AR50" s="198">
        <v>9536</v>
      </c>
      <c r="AS50" s="198">
        <v>5115</v>
      </c>
      <c r="AT50" s="1326">
        <v>-6319</v>
      </c>
      <c r="AU50" s="1326">
        <v>-1749</v>
      </c>
      <c r="AV50" s="1326">
        <v>-40566</v>
      </c>
      <c r="AW50" s="207">
        <v>-26382</v>
      </c>
      <c r="AX50" s="207"/>
      <c r="AY50" s="160"/>
      <c r="AZ50" s="160"/>
      <c r="BA50" s="160"/>
      <c r="BB50" s="3"/>
      <c r="BC50" s="3"/>
      <c r="BD50" s="3"/>
      <c r="BG50" s="3"/>
    </row>
    <row r="51" spans="1:59" ht="24.75" customHeight="1">
      <c r="A51" s="83"/>
      <c r="B51" s="546"/>
      <c r="C51" s="153"/>
      <c r="D51" s="11"/>
      <c r="E51" s="11"/>
      <c r="F51" s="466"/>
      <c r="G51" s="466"/>
      <c r="H51" s="466"/>
      <c r="I51" s="380"/>
      <c r="J51" s="466"/>
      <c r="K51" s="466"/>
      <c r="L51" s="466"/>
      <c r="M51" s="380"/>
      <c r="N51" s="466"/>
      <c r="O51" s="466"/>
      <c r="P51" s="466"/>
      <c r="Q51" s="380"/>
      <c r="R51" s="466"/>
      <c r="S51" s="466"/>
      <c r="T51" s="466"/>
      <c r="U51" s="380"/>
      <c r="V51" s="466"/>
      <c r="W51" s="466"/>
      <c r="X51" s="466"/>
      <c r="Y51" s="380"/>
      <c r="Z51" s="466"/>
      <c r="AA51" s="466"/>
      <c r="AB51" s="466"/>
      <c r="AC51" s="380"/>
      <c r="AD51" s="234"/>
      <c r="AE51" s="234"/>
      <c r="AF51" s="234"/>
      <c r="AG51" s="234"/>
      <c r="AH51" s="234"/>
      <c r="AI51" s="234"/>
      <c r="AJ51" s="234"/>
      <c r="AK51" s="234"/>
      <c r="AL51" s="148"/>
      <c r="AM51" s="148"/>
      <c r="AN51" s="148"/>
      <c r="AO51" s="153"/>
      <c r="AP51" s="582"/>
      <c r="AQ51" s="83"/>
      <c r="AR51" s="380"/>
      <c r="AS51" s="380"/>
      <c r="AT51" s="380"/>
      <c r="AU51" s="380"/>
      <c r="AV51" s="380"/>
      <c r="AW51" s="234"/>
      <c r="AX51" s="234"/>
      <c r="AY51" s="31"/>
      <c r="AZ51" s="31"/>
      <c r="BA51" s="31"/>
      <c r="BB51" s="3"/>
      <c r="BC51" s="3"/>
      <c r="BD51" s="3"/>
      <c r="BG51" s="3"/>
    </row>
    <row r="52" spans="1:59" ht="12.75">
      <c r="A52" s="7" t="s">
        <v>405</v>
      </c>
      <c r="B52" s="546"/>
      <c r="C52" s="153"/>
      <c r="D52" s="11"/>
      <c r="E52" s="11"/>
      <c r="F52" s="466"/>
      <c r="G52" s="466"/>
      <c r="H52" s="466"/>
      <c r="I52" s="380"/>
      <c r="J52" s="466"/>
      <c r="K52" s="466"/>
      <c r="L52" s="466"/>
      <c r="M52" s="380"/>
      <c r="N52" s="466"/>
      <c r="O52" s="466"/>
      <c r="P52" s="466"/>
      <c r="Q52" s="380"/>
      <c r="R52" s="466"/>
      <c r="S52" s="466"/>
      <c r="T52" s="466"/>
      <c r="U52" s="380"/>
      <c r="V52" s="466"/>
      <c r="W52" s="466"/>
      <c r="X52" s="466"/>
      <c r="Y52" s="380"/>
      <c r="Z52" s="466"/>
      <c r="AA52" s="466"/>
      <c r="AB52" s="466"/>
      <c r="AC52" s="380"/>
      <c r="AD52" s="234"/>
      <c r="AE52" s="234"/>
      <c r="AF52" s="234"/>
      <c r="AG52" s="234"/>
      <c r="AH52" s="234"/>
      <c r="AI52" s="234"/>
      <c r="AJ52" s="234"/>
      <c r="AK52" s="234"/>
      <c r="AL52" s="148"/>
      <c r="AM52" s="148"/>
      <c r="AN52" s="148"/>
      <c r="AO52" s="153"/>
      <c r="AP52" s="582"/>
      <c r="AQ52" s="83"/>
      <c r="AR52" s="380"/>
      <c r="AS52" s="380"/>
      <c r="AT52" s="380"/>
      <c r="AU52" s="380"/>
      <c r="AV52" s="380"/>
      <c r="AW52" s="234"/>
      <c r="AX52" s="234"/>
      <c r="AY52" s="31"/>
      <c r="AZ52" s="31"/>
      <c r="BA52" s="31"/>
      <c r="BB52" s="3"/>
      <c r="BC52" s="3"/>
      <c r="BD52" s="3"/>
      <c r="BG52" s="3"/>
    </row>
    <row r="53" spans="1:59" ht="15" hidden="1">
      <c r="A53" s="12" t="s">
        <v>227</v>
      </c>
      <c r="B53" s="145"/>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7"/>
      <c r="AH53" s="148"/>
      <c r="AI53" s="7"/>
      <c r="AJ53" s="7"/>
      <c r="AK53" s="148"/>
      <c r="AL53" s="148"/>
      <c r="AM53" s="148"/>
      <c r="AN53" s="148"/>
      <c r="AO53" s="148"/>
      <c r="AP53" s="148"/>
      <c r="AQ53" s="148"/>
      <c r="AR53" s="148"/>
      <c r="AS53" s="148"/>
      <c r="AT53" s="148"/>
      <c r="AU53" s="148"/>
      <c r="AV53" s="148"/>
      <c r="AW53" s="148"/>
      <c r="AX53" s="148"/>
      <c r="AY53" s="31"/>
      <c r="AZ53" s="31"/>
      <c r="BA53" s="31"/>
      <c r="BB53" s="3"/>
      <c r="BC53" s="3"/>
      <c r="BD53" s="3"/>
      <c r="BG53" s="3"/>
    </row>
    <row r="54" spans="3:59" ht="12.75" hidden="1">
      <c r="C54" s="1437" t="s">
        <v>481</v>
      </c>
      <c r="D54" s="1438"/>
      <c r="E54" s="148"/>
      <c r="F54" s="195"/>
      <c r="G54" s="195"/>
      <c r="H54" s="195"/>
      <c r="I54" s="195"/>
      <c r="J54" s="195"/>
      <c r="K54" s="195"/>
      <c r="L54" s="195"/>
      <c r="M54" s="195"/>
      <c r="N54" s="195"/>
      <c r="O54" s="195"/>
      <c r="P54" s="195"/>
      <c r="Q54" s="195"/>
      <c r="R54" s="195"/>
      <c r="S54" s="195"/>
      <c r="T54" s="195"/>
      <c r="U54" s="195"/>
      <c r="V54" s="195"/>
      <c r="W54" s="195"/>
      <c r="X54" s="195"/>
      <c r="Y54" s="195"/>
      <c r="Z54" s="196"/>
      <c r="AA54" s="195"/>
      <c r="AB54" s="195"/>
      <c r="AC54" s="165"/>
      <c r="AD54" s="165"/>
      <c r="AE54" s="148"/>
      <c r="AF54" s="148"/>
      <c r="AG54" s="7"/>
      <c r="AH54" s="148"/>
      <c r="AI54" s="7"/>
      <c r="AJ54" s="7"/>
      <c r="AK54" s="148"/>
      <c r="AL54" s="148"/>
      <c r="AM54" s="148"/>
      <c r="AN54" s="148"/>
      <c r="AO54" s="148"/>
      <c r="AP54" s="148"/>
      <c r="AQ54" s="148"/>
      <c r="AR54" s="88"/>
      <c r="AS54" s="88"/>
      <c r="AT54" s="88"/>
      <c r="AU54" s="88"/>
      <c r="AV54" s="88"/>
      <c r="AW54" s="196"/>
      <c r="AX54" s="194"/>
      <c r="AY54" s="88"/>
      <c r="AZ54" s="31"/>
      <c r="BA54" s="31"/>
      <c r="BB54" s="3"/>
      <c r="BC54" s="3"/>
      <c r="BD54" s="3"/>
      <c r="BG54" s="3"/>
    </row>
    <row r="55" spans="3:59" ht="12.75" hidden="1">
      <c r="C55" s="1441" t="s">
        <v>41</v>
      </c>
      <c r="D55" s="1442"/>
      <c r="E55" s="148"/>
      <c r="F55" s="21"/>
      <c r="G55" s="21"/>
      <c r="H55" s="21"/>
      <c r="I55" s="21"/>
      <c r="J55" s="21"/>
      <c r="K55" s="21"/>
      <c r="L55" s="21"/>
      <c r="M55" s="21"/>
      <c r="N55" s="21"/>
      <c r="O55" s="21"/>
      <c r="P55" s="21" t="s">
        <v>224</v>
      </c>
      <c r="Q55" s="21" t="s">
        <v>276</v>
      </c>
      <c r="R55" s="21"/>
      <c r="S55" s="21"/>
      <c r="T55" s="21" t="s">
        <v>224</v>
      </c>
      <c r="U55" s="21" t="s">
        <v>225</v>
      </c>
      <c r="V55" s="21" t="s">
        <v>141</v>
      </c>
      <c r="W55" s="21" t="s">
        <v>140</v>
      </c>
      <c r="X55" s="21" t="s">
        <v>139</v>
      </c>
      <c r="Y55" s="21" t="s">
        <v>138</v>
      </c>
      <c r="Z55" s="20" t="s">
        <v>91</v>
      </c>
      <c r="AA55" s="21" t="s">
        <v>92</v>
      </c>
      <c r="AB55" s="21" t="s">
        <v>93</v>
      </c>
      <c r="AC55" s="14" t="s">
        <v>32</v>
      </c>
      <c r="AD55" s="14" t="s">
        <v>32</v>
      </c>
      <c r="AE55" s="148"/>
      <c r="AF55" s="148"/>
      <c r="AG55" s="7"/>
      <c r="AH55" s="148"/>
      <c r="AI55" s="7"/>
      <c r="AJ55" s="7"/>
      <c r="AK55" s="148"/>
      <c r="AL55" s="148"/>
      <c r="AM55" s="148"/>
      <c r="AN55" s="148"/>
      <c r="AO55" s="148"/>
      <c r="AP55" s="148"/>
      <c r="AQ55" s="148"/>
      <c r="AR55" s="20"/>
      <c r="AS55" s="20"/>
      <c r="AT55" s="20"/>
      <c r="AU55" s="20" t="s">
        <v>142</v>
      </c>
      <c r="AV55" s="20" t="s">
        <v>45</v>
      </c>
      <c r="AW55" s="20" t="s">
        <v>42</v>
      </c>
      <c r="AX55" s="23" t="s">
        <v>43</v>
      </c>
      <c r="AY55" s="23" t="s">
        <v>165</v>
      </c>
      <c r="AZ55" s="31"/>
      <c r="BA55" s="31"/>
      <c r="BB55" s="3"/>
      <c r="BC55" s="3"/>
      <c r="BD55" s="3"/>
      <c r="BG55" s="3"/>
    </row>
    <row r="56" spans="1:59" ht="12.75" hidden="1">
      <c r="A56" s="83"/>
      <c r="B56" s="166" t="s">
        <v>69</v>
      </c>
      <c r="C56" s="84">
        <v>-23</v>
      </c>
      <c r="D56" s="554">
        <v>-1</v>
      </c>
      <c r="E56" s="148"/>
      <c r="F56" s="213"/>
      <c r="G56" s="213"/>
      <c r="H56" s="213"/>
      <c r="I56" s="168"/>
      <c r="J56" s="213"/>
      <c r="K56" s="213"/>
      <c r="L56" s="213"/>
      <c r="M56" s="168"/>
      <c r="N56" s="213"/>
      <c r="O56" s="213"/>
      <c r="P56" s="213">
        <v>0</v>
      </c>
      <c r="Q56" s="168">
        <v>50</v>
      </c>
      <c r="R56" s="213"/>
      <c r="S56" s="213"/>
      <c r="T56" s="213">
        <v>0</v>
      </c>
      <c r="U56" s="168">
        <v>50</v>
      </c>
      <c r="V56" s="213">
        <v>23</v>
      </c>
      <c r="W56" s="213">
        <v>8</v>
      </c>
      <c r="X56" s="213">
        <v>0</v>
      </c>
      <c r="Y56" s="168">
        <v>0</v>
      </c>
      <c r="Z56" s="213">
        <v>0</v>
      </c>
      <c r="AA56" s="213">
        <v>0</v>
      </c>
      <c r="AB56" s="213">
        <v>0</v>
      </c>
      <c r="AC56" s="168">
        <v>-90</v>
      </c>
      <c r="AD56" s="424">
        <v>29584</v>
      </c>
      <c r="AE56" s="148"/>
      <c r="AF56" s="148"/>
      <c r="AG56" s="7"/>
      <c r="AH56" s="148"/>
      <c r="AI56" s="7"/>
      <c r="AJ56" s="7"/>
      <c r="AK56" s="148"/>
      <c r="AL56" s="148"/>
      <c r="AM56" s="148"/>
      <c r="AN56" s="148"/>
      <c r="AO56" s="148"/>
      <c r="AP56" s="148"/>
      <c r="AQ56" s="148"/>
      <c r="AR56" s="177"/>
      <c r="AS56" s="177"/>
      <c r="AT56" s="177"/>
      <c r="AU56" s="177">
        <v>31</v>
      </c>
      <c r="AV56" s="177">
        <v>-90</v>
      </c>
      <c r="AW56" s="177">
        <v>0</v>
      </c>
      <c r="AX56" s="177">
        <v>0</v>
      </c>
      <c r="AY56" s="360">
        <v>0</v>
      </c>
      <c r="AZ56" s="31"/>
      <c r="BA56" s="31"/>
      <c r="BB56" s="3"/>
      <c r="BC56" s="3"/>
      <c r="BD56" s="3"/>
      <c r="BG56" s="3"/>
    </row>
    <row r="57" spans="1:59" ht="12.75" hidden="1">
      <c r="A57" s="83"/>
      <c r="B57" s="145" t="s">
        <v>228</v>
      </c>
      <c r="C57" s="84">
        <v>0</v>
      </c>
      <c r="D57" s="589" t="s">
        <v>243</v>
      </c>
      <c r="E57" s="148"/>
      <c r="F57" s="213"/>
      <c r="G57" s="213"/>
      <c r="H57" s="213"/>
      <c r="I57" s="168"/>
      <c r="J57" s="213"/>
      <c r="K57" s="213"/>
      <c r="L57" s="213"/>
      <c r="M57" s="168"/>
      <c r="N57" s="213"/>
      <c r="O57" s="213"/>
      <c r="P57" s="213"/>
      <c r="Q57" s="168">
        <v>0</v>
      </c>
      <c r="R57" s="213"/>
      <c r="S57" s="213"/>
      <c r="T57" s="213"/>
      <c r="U57" s="168">
        <v>0</v>
      </c>
      <c r="V57" s="213">
        <v>0</v>
      </c>
      <c r="W57" s="213">
        <v>0</v>
      </c>
      <c r="X57" s="213">
        <v>0</v>
      </c>
      <c r="Y57" s="168">
        <v>0</v>
      </c>
      <c r="Z57" s="213">
        <v>784</v>
      </c>
      <c r="AA57" s="213">
        <v>-123</v>
      </c>
      <c r="AB57" s="213">
        <v>0</v>
      </c>
      <c r="AC57" s="168">
        <v>-660</v>
      </c>
      <c r="AD57" s="424">
        <v>68274</v>
      </c>
      <c r="AE57" s="148"/>
      <c r="AF57" s="148"/>
      <c r="AG57" s="7"/>
      <c r="AH57" s="148"/>
      <c r="AI57" s="7"/>
      <c r="AJ57" s="7"/>
      <c r="AK57" s="148"/>
      <c r="AL57" s="148"/>
      <c r="AM57" s="148"/>
      <c r="AN57" s="148"/>
      <c r="AO57" s="148"/>
      <c r="AP57" s="148"/>
      <c r="AQ57" s="148"/>
      <c r="AR57" s="177"/>
      <c r="AS57" s="177"/>
      <c r="AT57" s="177"/>
      <c r="AU57" s="177">
        <v>0</v>
      </c>
      <c r="AV57" s="177">
        <v>1</v>
      </c>
      <c r="AW57" s="177">
        <v>0</v>
      </c>
      <c r="AX57" s="177">
        <v>6</v>
      </c>
      <c r="AY57" s="43">
        <v>75</v>
      </c>
      <c r="AZ57" s="31"/>
      <c r="BA57" s="31"/>
      <c r="BB57" s="3"/>
      <c r="BC57" s="3"/>
      <c r="BD57" s="3"/>
      <c r="BG57" s="3"/>
    </row>
    <row r="58" spans="1:59" ht="12.75" hidden="1">
      <c r="A58" s="83"/>
      <c r="B58" s="145" t="s">
        <v>229</v>
      </c>
      <c r="C58" s="84">
        <v>0</v>
      </c>
      <c r="D58" s="589" t="s">
        <v>243</v>
      </c>
      <c r="E58" s="148"/>
      <c r="F58" s="213"/>
      <c r="G58" s="213"/>
      <c r="H58" s="213"/>
      <c r="I58" s="168"/>
      <c r="J58" s="213"/>
      <c r="K58" s="213"/>
      <c r="L58" s="213"/>
      <c r="M58" s="168"/>
      <c r="N58" s="213"/>
      <c r="O58" s="213"/>
      <c r="P58" s="213"/>
      <c r="Q58" s="168">
        <v>0</v>
      </c>
      <c r="R58" s="213"/>
      <c r="S58" s="213"/>
      <c r="T58" s="213"/>
      <c r="U58" s="168">
        <v>0</v>
      </c>
      <c r="V58" s="213">
        <v>0</v>
      </c>
      <c r="W58" s="213">
        <v>0</v>
      </c>
      <c r="X58" s="213">
        <v>0</v>
      </c>
      <c r="Y58" s="168">
        <v>0</v>
      </c>
      <c r="Z58" s="213">
        <v>0</v>
      </c>
      <c r="AA58" s="213">
        <v>0</v>
      </c>
      <c r="AB58" s="213">
        <v>0</v>
      </c>
      <c r="AC58" s="168">
        <v>0</v>
      </c>
      <c r="AD58" s="424">
        <v>0</v>
      </c>
      <c r="AE58" s="148"/>
      <c r="AF58" s="148"/>
      <c r="AG58" s="7"/>
      <c r="AH58" s="148"/>
      <c r="AI58" s="7"/>
      <c r="AJ58" s="7"/>
      <c r="AK58" s="148"/>
      <c r="AL58" s="148"/>
      <c r="AM58" s="148"/>
      <c r="AN58" s="148"/>
      <c r="AO58" s="148"/>
      <c r="AP58" s="148"/>
      <c r="AQ58" s="148"/>
      <c r="AR58" s="177"/>
      <c r="AS58" s="177"/>
      <c r="AT58" s="177"/>
      <c r="AU58" s="177">
        <v>0</v>
      </c>
      <c r="AV58" s="177">
        <v>0</v>
      </c>
      <c r="AW58" s="177"/>
      <c r="AX58" s="177">
        <v>0</v>
      </c>
      <c r="AY58" s="43">
        <v>0</v>
      </c>
      <c r="AZ58" s="31"/>
      <c r="BA58" s="31"/>
      <c r="BB58" s="3"/>
      <c r="BC58" s="3"/>
      <c r="BD58" s="3"/>
      <c r="BG58" s="3"/>
    </row>
    <row r="59" spans="1:59" ht="12.75" hidden="1">
      <c r="A59" s="83"/>
      <c r="B59" s="145" t="s">
        <v>230</v>
      </c>
      <c r="C59" s="84">
        <v>-778</v>
      </c>
      <c r="D59" s="45">
        <v>-0.9948849104859335</v>
      </c>
      <c r="E59" s="148"/>
      <c r="F59" s="466"/>
      <c r="G59" s="466"/>
      <c r="H59" s="466"/>
      <c r="I59" s="443"/>
      <c r="J59" s="466"/>
      <c r="K59" s="466"/>
      <c r="L59" s="466"/>
      <c r="M59" s="443"/>
      <c r="N59" s="466"/>
      <c r="O59" s="466"/>
      <c r="P59" s="466">
        <v>3</v>
      </c>
      <c r="Q59" s="443">
        <v>4</v>
      </c>
      <c r="R59" s="466"/>
      <c r="S59" s="466"/>
      <c r="T59" s="466">
        <v>3</v>
      </c>
      <c r="U59" s="443">
        <v>4</v>
      </c>
      <c r="V59" s="466">
        <v>295</v>
      </c>
      <c r="W59" s="466">
        <v>-12</v>
      </c>
      <c r="X59" s="466">
        <v>58</v>
      </c>
      <c r="Y59" s="443">
        <v>782</v>
      </c>
      <c r="Z59" s="213">
        <v>1414</v>
      </c>
      <c r="AA59" s="213">
        <v>0</v>
      </c>
      <c r="AB59" s="213">
        <v>0</v>
      </c>
      <c r="AC59" s="168">
        <v>0</v>
      </c>
      <c r="AD59" s="424">
        <v>5363</v>
      </c>
      <c r="AE59" s="148"/>
      <c r="AF59" s="148"/>
      <c r="AG59" s="7"/>
      <c r="AH59" s="148"/>
      <c r="AI59" s="7"/>
      <c r="AJ59" s="7"/>
      <c r="AK59" s="148"/>
      <c r="AL59" s="148"/>
      <c r="AM59" s="148"/>
      <c r="AN59" s="148"/>
      <c r="AO59" s="148"/>
      <c r="AP59" s="148"/>
      <c r="AQ59" s="148"/>
      <c r="AR59" s="179"/>
      <c r="AS59" s="179"/>
      <c r="AT59" s="179"/>
      <c r="AU59" s="179">
        <v>1123</v>
      </c>
      <c r="AV59" s="179">
        <v>1414</v>
      </c>
      <c r="AW59" s="177">
        <v>0</v>
      </c>
      <c r="AX59" s="177">
        <v>0</v>
      </c>
      <c r="AY59" s="43">
        <v>0</v>
      </c>
      <c r="AZ59" s="31"/>
      <c r="BA59" s="31"/>
      <c r="BB59" s="3"/>
      <c r="BC59" s="3"/>
      <c r="BD59" s="3"/>
      <c r="BG59" s="3"/>
    </row>
    <row r="60" spans="1:59" ht="12.75" hidden="1">
      <c r="A60" s="83"/>
      <c r="B60" s="145" t="s">
        <v>72</v>
      </c>
      <c r="C60" s="84">
        <v>-166</v>
      </c>
      <c r="D60" s="45">
        <v>-0.16163583252190847</v>
      </c>
      <c r="E60" s="148"/>
      <c r="F60" s="466"/>
      <c r="G60" s="466"/>
      <c r="H60" s="466"/>
      <c r="I60" s="466"/>
      <c r="J60" s="466"/>
      <c r="K60" s="466"/>
      <c r="L60" s="466"/>
      <c r="M60" s="466"/>
      <c r="N60" s="466"/>
      <c r="O60" s="466"/>
      <c r="P60" s="466">
        <v>1569</v>
      </c>
      <c r="Q60" s="466">
        <v>861</v>
      </c>
      <c r="R60" s="466"/>
      <c r="S60" s="466"/>
      <c r="T60" s="466">
        <v>1569</v>
      </c>
      <c r="U60" s="466">
        <v>861</v>
      </c>
      <c r="V60" s="466">
        <v>830</v>
      </c>
      <c r="W60" s="466">
        <v>848</v>
      </c>
      <c r="X60" s="466">
        <v>784</v>
      </c>
      <c r="Y60" s="466">
        <v>1027</v>
      </c>
      <c r="Z60" s="231">
        <v>-1695</v>
      </c>
      <c r="AA60" s="466">
        <v>4232</v>
      </c>
      <c r="AB60" s="466">
        <v>4770</v>
      </c>
      <c r="AC60" s="443">
        <v>4925</v>
      </c>
      <c r="AD60" s="424">
        <v>1512</v>
      </c>
      <c r="AE60" s="148"/>
      <c r="AF60" s="148"/>
      <c r="AG60" s="7"/>
      <c r="AH60" s="148"/>
      <c r="AI60" s="7"/>
      <c r="AJ60" s="7"/>
      <c r="AK60" s="148"/>
      <c r="AL60" s="148"/>
      <c r="AM60" s="148"/>
      <c r="AN60" s="148"/>
      <c r="AO60" s="148"/>
      <c r="AP60" s="148"/>
      <c r="AQ60" s="148"/>
      <c r="AR60" s="179"/>
      <c r="AS60" s="179"/>
      <c r="AT60" s="179"/>
      <c r="AU60" s="179">
        <v>3489</v>
      </c>
      <c r="AV60" s="179">
        <v>12232</v>
      </c>
      <c r="AW60" s="174">
        <v>27482</v>
      </c>
      <c r="AX60" s="161">
        <v>21829</v>
      </c>
      <c r="AY60" s="43">
        <v>13218</v>
      </c>
      <c r="AZ60" s="31"/>
      <c r="BA60" s="31"/>
      <c r="BB60" s="3"/>
      <c r="BC60" s="3"/>
      <c r="BD60" s="3"/>
      <c r="BG60" s="3"/>
    </row>
    <row r="61" spans="1:59" ht="12.75" hidden="1">
      <c r="A61" s="193"/>
      <c r="B61" s="7" t="s">
        <v>73</v>
      </c>
      <c r="C61" s="84">
        <v>-6329</v>
      </c>
      <c r="D61" s="45">
        <v>-0.6346770958684316</v>
      </c>
      <c r="E61" s="421"/>
      <c r="F61" s="466"/>
      <c r="G61" s="466"/>
      <c r="H61" s="466"/>
      <c r="I61" s="474"/>
      <c r="J61" s="466"/>
      <c r="K61" s="466"/>
      <c r="L61" s="466"/>
      <c r="M61" s="474"/>
      <c r="N61" s="466"/>
      <c r="O61" s="466"/>
      <c r="P61" s="466">
        <v>6211</v>
      </c>
      <c r="Q61" s="474">
        <v>3643</v>
      </c>
      <c r="R61" s="466"/>
      <c r="S61" s="466"/>
      <c r="T61" s="474">
        <v>6211</v>
      </c>
      <c r="U61" s="474">
        <v>3643</v>
      </c>
      <c r="V61" s="466">
        <v>3499</v>
      </c>
      <c r="W61" s="466">
        <v>4530</v>
      </c>
      <c r="X61" s="474">
        <v>4289</v>
      </c>
      <c r="Y61" s="474">
        <v>9972</v>
      </c>
      <c r="Z61" s="231">
        <v>4266</v>
      </c>
      <c r="AA61" s="474">
        <v>297</v>
      </c>
      <c r="AB61" s="474">
        <v>3879</v>
      </c>
      <c r="AC61" s="427">
        <v>5887</v>
      </c>
      <c r="AD61" s="426">
        <v>60</v>
      </c>
      <c r="AE61" s="15"/>
      <c r="AF61" s="15"/>
      <c r="AG61" s="15"/>
      <c r="AH61" s="15"/>
      <c r="AI61" s="15"/>
      <c r="AJ61" s="15"/>
      <c r="AK61" s="15"/>
      <c r="AL61" s="148"/>
      <c r="AM61" s="148"/>
      <c r="AN61" s="148"/>
      <c r="AO61" s="83"/>
      <c r="AP61" s="83"/>
      <c r="AQ61" s="83"/>
      <c r="AR61" s="198"/>
      <c r="AS61" s="198"/>
      <c r="AT61" s="198"/>
      <c r="AU61" s="198">
        <v>22290</v>
      </c>
      <c r="AV61" s="198">
        <v>14329</v>
      </c>
      <c r="AW61" s="211">
        <v>23288</v>
      </c>
      <c r="AX61" s="206">
        <v>12743</v>
      </c>
      <c r="AY61" s="160">
        <v>11262</v>
      </c>
      <c r="AZ61" s="31"/>
      <c r="BA61" s="31"/>
      <c r="BB61" s="3"/>
      <c r="BC61" s="3"/>
      <c r="BD61" s="3"/>
      <c r="BG61" s="3"/>
    </row>
    <row r="62" spans="1:59" ht="12.75" hidden="1">
      <c r="A62" s="193"/>
      <c r="B62" s="7"/>
      <c r="C62" s="578">
        <v>-7223</v>
      </c>
      <c r="D62" s="579">
        <v>-0.6131058483999661</v>
      </c>
      <c r="F62" s="383"/>
      <c r="G62" s="383"/>
      <c r="H62" s="383"/>
      <c r="I62" s="383"/>
      <c r="J62" s="383"/>
      <c r="K62" s="383"/>
      <c r="L62" s="383"/>
      <c r="M62" s="383"/>
      <c r="N62" s="383"/>
      <c r="O62" s="383"/>
      <c r="P62" s="383">
        <v>7783</v>
      </c>
      <c r="Q62" s="383">
        <v>4558</v>
      </c>
      <c r="R62" s="383"/>
      <c r="S62" s="383"/>
      <c r="T62" s="383">
        <v>7783</v>
      </c>
      <c r="U62" s="383">
        <v>4558</v>
      </c>
      <c r="V62" s="383">
        <v>4647</v>
      </c>
      <c r="W62" s="383">
        <v>5374</v>
      </c>
      <c r="X62" s="383">
        <v>5131</v>
      </c>
      <c r="Y62" s="383">
        <v>11781</v>
      </c>
      <c r="Z62" s="382">
        <v>4769</v>
      </c>
      <c r="AA62" s="383">
        <v>4406</v>
      </c>
      <c r="AB62" s="383">
        <v>8649</v>
      </c>
      <c r="AC62" s="581">
        <v>10062</v>
      </c>
      <c r="AD62" s="581">
        <v>104793</v>
      </c>
      <c r="AE62" s="2"/>
      <c r="AF62" s="2"/>
      <c r="AG62" s="2"/>
      <c r="AH62" s="2"/>
      <c r="AI62" s="2"/>
      <c r="AJ62" s="2"/>
      <c r="AK62" s="2"/>
      <c r="AL62" s="3"/>
      <c r="AM62" s="3"/>
      <c r="AN62" s="3"/>
      <c r="AR62" s="493"/>
      <c r="AS62" s="493"/>
      <c r="AT62" s="493"/>
      <c r="AU62" s="493">
        <v>26933</v>
      </c>
      <c r="AV62" s="173">
        <v>27886</v>
      </c>
      <c r="AW62" s="173">
        <v>50770</v>
      </c>
      <c r="AX62" s="173">
        <v>34578</v>
      </c>
      <c r="AY62" s="173">
        <v>24555</v>
      </c>
      <c r="AZ62" s="31"/>
      <c r="BA62" s="31"/>
      <c r="BB62" s="3"/>
      <c r="BC62" s="3"/>
      <c r="BD62" s="3"/>
      <c r="BG62" s="3"/>
    </row>
    <row r="63" spans="2:56" ht="12.75" customHeight="1">
      <c r="B63" s="13"/>
      <c r="C63" s="13"/>
      <c r="D63" s="13"/>
      <c r="E63" s="13"/>
      <c r="F63" s="13"/>
      <c r="G63" s="13"/>
      <c r="H63" s="13"/>
      <c r="I63" s="15"/>
      <c r="J63" s="13"/>
      <c r="K63" s="13"/>
      <c r="L63" s="13"/>
      <c r="M63" s="15"/>
      <c r="N63" s="13"/>
      <c r="O63" s="13"/>
      <c r="P63" s="13"/>
      <c r="Q63" s="15"/>
      <c r="R63" s="13"/>
      <c r="S63" s="13"/>
      <c r="T63" s="13"/>
      <c r="U63" s="15"/>
      <c r="V63" s="13"/>
      <c r="W63" s="13"/>
      <c r="X63" s="13"/>
      <c r="Y63" s="15"/>
      <c r="Z63" s="13"/>
      <c r="AA63" s="13"/>
      <c r="AB63" s="13"/>
      <c r="AC63" s="15"/>
      <c r="AD63" s="15"/>
      <c r="AE63" s="15"/>
      <c r="AF63" s="15"/>
      <c r="AG63" s="15"/>
      <c r="AH63" s="15"/>
      <c r="AI63" s="15"/>
      <c r="AJ63" s="15"/>
      <c r="AK63" s="15"/>
      <c r="AL63" s="3"/>
      <c r="AM63" s="3"/>
      <c r="AN63" s="3"/>
      <c r="AO63" s="3"/>
      <c r="AP63" s="3"/>
      <c r="AW63" s="2"/>
      <c r="AX63" s="2"/>
      <c r="BC63" s="3"/>
      <c r="BD63" s="3"/>
    </row>
    <row r="64" spans="1:56" ht="12.75">
      <c r="A64" s="3"/>
      <c r="B64" s="3"/>
      <c r="C64" s="3"/>
      <c r="D64" s="3"/>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BC64" s="3"/>
      <c r="BD64" s="3"/>
    </row>
    <row r="65" spans="9:56" ht="12.75">
      <c r="I65"/>
      <c r="M65"/>
      <c r="Q65"/>
      <c r="U65"/>
      <c r="Y65"/>
      <c r="AK65" s="31"/>
      <c r="AL65" s="3"/>
      <c r="AM65" s="3"/>
      <c r="AN65" s="3"/>
      <c r="AW65" s="31"/>
      <c r="AX65" s="31"/>
      <c r="BC65" s="3"/>
      <c r="BD65" s="3"/>
    </row>
    <row r="66" spans="9:56" ht="12.75">
      <c r="I66"/>
      <c r="M66"/>
      <c r="Q66"/>
      <c r="U66"/>
      <c r="Y66"/>
      <c r="AK66" s="31"/>
      <c r="AL66" s="3"/>
      <c r="AM66" s="3"/>
      <c r="AN66" s="3"/>
      <c r="AW66" s="31"/>
      <c r="AX66" s="31"/>
      <c r="BC66" s="3"/>
      <c r="BD66" s="3"/>
    </row>
    <row r="67" spans="9:50" ht="12.75">
      <c r="I67"/>
      <c r="M67"/>
      <c r="Q67"/>
      <c r="U67"/>
      <c r="Y67"/>
      <c r="AK67" s="31"/>
      <c r="AL67" s="3"/>
      <c r="AM67" s="3"/>
      <c r="AN67" s="3"/>
      <c r="AW67" s="31"/>
      <c r="AX67" s="31"/>
    </row>
    <row r="68" spans="9:50" ht="12.75">
      <c r="I68"/>
      <c r="M68"/>
      <c r="Q68"/>
      <c r="U68"/>
      <c r="Y68"/>
      <c r="AK68" s="31"/>
      <c r="AL68" s="3"/>
      <c r="AM68" s="3"/>
      <c r="AN68" s="3"/>
      <c r="AW68" s="2"/>
      <c r="AX68" s="2"/>
    </row>
    <row r="69" spans="9:50" ht="12.75">
      <c r="I69"/>
      <c r="M69"/>
      <c r="Q69"/>
      <c r="U69"/>
      <c r="Y69"/>
      <c r="AK69" s="11"/>
      <c r="AL69" s="3"/>
      <c r="AM69" s="3"/>
      <c r="AN69" s="3"/>
      <c r="AW69" s="32"/>
      <c r="AX69" s="32"/>
    </row>
    <row r="70" spans="9:50" ht="12.75">
      <c r="I70" s="33"/>
      <c r="M70" s="33"/>
      <c r="Q70" s="33"/>
      <c r="U70" s="33"/>
      <c r="Y70" s="33"/>
      <c r="AC70" s="33"/>
      <c r="AK70" s="33"/>
      <c r="AL70" s="3"/>
      <c r="AM70" s="3"/>
      <c r="AN70" s="3"/>
      <c r="AW70" s="2"/>
      <c r="AX70" s="2"/>
    </row>
    <row r="71" spans="9:50" ht="12.75">
      <c r="I71" s="2"/>
      <c r="M71" s="2"/>
      <c r="Q71" s="2"/>
      <c r="U71" s="2"/>
      <c r="Y71" s="2"/>
      <c r="AC71" s="2"/>
      <c r="AK71" s="152"/>
      <c r="AL71" s="3"/>
      <c r="AM71" s="3"/>
      <c r="AN71" s="3"/>
      <c r="AW71" s="2"/>
      <c r="AX71" s="2"/>
    </row>
    <row r="72" spans="9:50" ht="12.75">
      <c r="I72" s="2"/>
      <c r="M72" s="2"/>
      <c r="Q72" s="2"/>
      <c r="U72" s="2"/>
      <c r="Y72" s="2"/>
      <c r="AC72" s="2"/>
      <c r="AD72" s="2"/>
      <c r="AG72" s="2"/>
      <c r="AI72" s="2"/>
      <c r="AJ72" s="2"/>
      <c r="AK72" s="2"/>
      <c r="AL72" s="3"/>
      <c r="AM72" s="3"/>
      <c r="AN72" s="3"/>
      <c r="AW72" s="51"/>
      <c r="AX72" s="51"/>
    </row>
    <row r="73" spans="9:50" ht="12.75">
      <c r="I73" s="32"/>
      <c r="M73" s="32"/>
      <c r="Q73" s="32"/>
      <c r="U73" s="32"/>
      <c r="Y73" s="32"/>
      <c r="AC73" s="32"/>
      <c r="AD73" s="44"/>
      <c r="AE73" s="32"/>
      <c r="AF73" s="32"/>
      <c r="AG73" s="32"/>
      <c r="AH73" s="37"/>
      <c r="AI73" s="37"/>
      <c r="AJ73" s="34"/>
      <c r="AK73" s="1"/>
      <c r="AL73" s="3"/>
      <c r="AM73" s="3"/>
      <c r="AN73" s="3"/>
      <c r="AW73" s="51"/>
      <c r="AX73" s="51"/>
    </row>
    <row r="74" spans="9:50" ht="12.75">
      <c r="I74" s="32"/>
      <c r="M74" s="32"/>
      <c r="Q74" s="32"/>
      <c r="U74" s="32"/>
      <c r="Y74" s="32"/>
      <c r="AC74" s="32"/>
      <c r="AD74" s="32"/>
      <c r="AE74" s="32"/>
      <c r="AF74" s="32"/>
      <c r="AG74" s="32"/>
      <c r="AH74" s="40"/>
      <c r="AI74" s="32"/>
      <c r="AJ74" s="32"/>
      <c r="AK74" s="32"/>
      <c r="AL74" s="3"/>
      <c r="AM74" s="3"/>
      <c r="AN74" s="3"/>
      <c r="AW74" s="52"/>
      <c r="AX74" s="52"/>
    </row>
    <row r="75" spans="9:50" ht="12.75">
      <c r="I75" s="11"/>
      <c r="M75" s="11"/>
      <c r="Q75" s="11"/>
      <c r="U75" s="11"/>
      <c r="Y75" s="11"/>
      <c r="AC75" s="11"/>
      <c r="AD75" s="42"/>
      <c r="AE75" s="35"/>
      <c r="AF75" s="35"/>
      <c r="AG75" s="35"/>
      <c r="AH75" s="42"/>
      <c r="AI75" s="35"/>
      <c r="AJ75" s="35"/>
      <c r="AK75" s="47"/>
      <c r="AL75" s="3"/>
      <c r="AM75" s="3"/>
      <c r="AN75" s="3"/>
      <c r="AW75" s="53"/>
      <c r="AX75" s="53"/>
    </row>
    <row r="76" spans="9:50" ht="12.75">
      <c r="I76" s="11"/>
      <c r="M76" s="11"/>
      <c r="Q76" s="11"/>
      <c r="U76" s="11"/>
      <c r="Y76" s="11"/>
      <c r="AC76" s="11"/>
      <c r="AD76" s="35"/>
      <c r="AE76" s="35"/>
      <c r="AF76" s="35"/>
      <c r="AG76" s="35"/>
      <c r="AH76" s="35"/>
      <c r="AI76" s="35"/>
      <c r="AJ76" s="35"/>
      <c r="AK76" s="47"/>
      <c r="AL76" s="3"/>
      <c r="AM76" s="3"/>
      <c r="AN76" s="3"/>
      <c r="AW76" s="35"/>
      <c r="AX76" s="35"/>
    </row>
    <row r="77" spans="9:50" ht="12.75">
      <c r="I77" s="11"/>
      <c r="M77" s="11"/>
      <c r="Q77" s="11"/>
      <c r="U77" s="11"/>
      <c r="Y77" s="11"/>
      <c r="AC77" s="11"/>
      <c r="AD77" s="35"/>
      <c r="AE77" s="35"/>
      <c r="AF77" s="35"/>
      <c r="AG77" s="35"/>
      <c r="AH77" s="35"/>
      <c r="AI77" s="35"/>
      <c r="AJ77" s="35"/>
      <c r="AK77" s="41"/>
      <c r="AL77" s="3"/>
      <c r="AM77" s="3"/>
      <c r="AN77" s="3"/>
      <c r="AW77" s="35"/>
      <c r="AX77" s="35"/>
    </row>
    <row r="78" spans="9:50" ht="12.75">
      <c r="I78" s="35"/>
      <c r="M78" s="35"/>
      <c r="Q78" s="35"/>
      <c r="U78" s="35"/>
      <c r="Y78" s="35"/>
      <c r="AC78" s="35"/>
      <c r="AD78" s="35"/>
      <c r="AE78" s="35"/>
      <c r="AF78" s="35"/>
      <c r="AG78" s="35"/>
      <c r="AH78" s="35"/>
      <c r="AI78" s="35"/>
      <c r="AJ78" s="35"/>
      <c r="AK78" s="35"/>
      <c r="AL78" s="3"/>
      <c r="AM78" s="3"/>
      <c r="AN78" s="3"/>
      <c r="AW78" s="36"/>
      <c r="AX78" s="36"/>
    </row>
    <row r="79" spans="9:50" ht="12.75">
      <c r="I79" s="36"/>
      <c r="M79" s="36"/>
      <c r="Q79" s="36"/>
      <c r="U79" s="36"/>
      <c r="Y79" s="36"/>
      <c r="AC79" s="36"/>
      <c r="AD79" s="36"/>
      <c r="AE79" s="36"/>
      <c r="AF79" s="36"/>
      <c r="AG79" s="36"/>
      <c r="AH79" s="36"/>
      <c r="AI79" s="36"/>
      <c r="AJ79" s="36"/>
      <c r="AK79" s="36"/>
      <c r="AL79" s="3"/>
      <c r="AM79" s="3"/>
      <c r="AN79" s="3"/>
      <c r="AW79" s="36"/>
      <c r="AX79" s="36"/>
    </row>
    <row r="80" spans="9:50" ht="12.75">
      <c r="I80" s="36"/>
      <c r="M80" s="36"/>
      <c r="Q80" s="36"/>
      <c r="U80" s="36"/>
      <c r="Y80" s="36"/>
      <c r="AC80" s="36"/>
      <c r="AD80" s="36"/>
      <c r="AE80" s="36"/>
      <c r="AF80" s="36"/>
      <c r="AG80" s="36"/>
      <c r="AH80" s="36"/>
      <c r="AI80" s="36"/>
      <c r="AJ80" s="36"/>
      <c r="AK80" s="36"/>
      <c r="AL80" s="3"/>
      <c r="AM80" s="3"/>
      <c r="AN80" s="3"/>
      <c r="AW80" s="3"/>
      <c r="AX80" s="3"/>
    </row>
    <row r="81" spans="29:50" ht="12.75">
      <c r="AC81" s="3"/>
      <c r="AD81" s="3"/>
      <c r="AE81" s="3"/>
      <c r="AF81" s="3"/>
      <c r="AG81" s="3"/>
      <c r="AH81" s="3"/>
      <c r="AI81" s="3"/>
      <c r="AJ81" s="3"/>
      <c r="AK81" s="3"/>
      <c r="AL81" s="3"/>
      <c r="AM81" s="3"/>
      <c r="AN81" s="3"/>
      <c r="AW81" s="3"/>
      <c r="AX81" s="3"/>
    </row>
    <row r="82" spans="29:50" ht="12.75">
      <c r="AC82" s="3"/>
      <c r="AD82" s="3"/>
      <c r="AE82" s="3"/>
      <c r="AF82" s="3"/>
      <c r="AG82" s="3"/>
      <c r="AH82" s="3"/>
      <c r="AI82" s="3"/>
      <c r="AJ82" s="3"/>
      <c r="AK82" s="3"/>
      <c r="AL82" s="3"/>
      <c r="AM82" s="3"/>
      <c r="AN82" s="3"/>
      <c r="AW82" s="3"/>
      <c r="AX82" s="3"/>
    </row>
    <row r="83" spans="29:50" ht="12.75">
      <c r="AC83" s="3"/>
      <c r="AD83" s="3"/>
      <c r="AE83" s="3"/>
      <c r="AF83" s="3"/>
      <c r="AG83" s="3"/>
      <c r="AH83" s="3"/>
      <c r="AI83" s="3"/>
      <c r="AJ83" s="3"/>
      <c r="AK83" s="3"/>
      <c r="AL83" s="3"/>
      <c r="AM83" s="3"/>
      <c r="AN83" s="3"/>
      <c r="AW83" s="3"/>
      <c r="AX83" s="3"/>
    </row>
    <row r="84" spans="29:50" ht="12.75">
      <c r="AC84" s="3"/>
      <c r="AD84" s="3"/>
      <c r="AE84" s="3"/>
      <c r="AF84" s="3"/>
      <c r="AG84" s="3"/>
      <c r="AH84" s="3"/>
      <c r="AI84" s="3"/>
      <c r="AJ84" s="3"/>
      <c r="AK84" s="3"/>
      <c r="AL84" s="3"/>
      <c r="AM84" s="3"/>
      <c r="AN84" s="3"/>
      <c r="AW84" s="3"/>
      <c r="AX84" s="3"/>
    </row>
    <row r="85" spans="29:40" ht="12.75">
      <c r="AC85" s="3"/>
      <c r="AD85" s="3"/>
      <c r="AE85" s="3"/>
      <c r="AF85" s="3"/>
      <c r="AG85" s="3"/>
      <c r="AH85" s="3"/>
      <c r="AI85" s="3"/>
      <c r="AJ85" s="3"/>
      <c r="AK85" s="3"/>
      <c r="AL85" s="3"/>
      <c r="AM85" s="3"/>
      <c r="AN85" s="3"/>
    </row>
    <row r="86" spans="9:25" ht="12.75">
      <c r="I86"/>
      <c r="M86"/>
      <c r="Q86"/>
      <c r="U86"/>
      <c r="Y86"/>
    </row>
    <row r="87" spans="9:25" ht="12.75">
      <c r="I87"/>
      <c r="M87"/>
      <c r="Q87"/>
      <c r="U87"/>
      <c r="Y87"/>
    </row>
    <row r="88" spans="9:25" ht="12.75">
      <c r="I88"/>
      <c r="M88"/>
      <c r="Q88"/>
      <c r="U88"/>
      <c r="Y88"/>
    </row>
    <row r="89" spans="9:25" ht="12.75">
      <c r="I89"/>
      <c r="M89"/>
      <c r="Q89"/>
      <c r="U89"/>
      <c r="Y89"/>
    </row>
    <row r="90" spans="9:25" ht="12.75">
      <c r="I90"/>
      <c r="M90"/>
      <c r="Q90"/>
      <c r="U90"/>
      <c r="Y90"/>
    </row>
  </sheetData>
  <sheetProtection/>
  <mergeCells count="9">
    <mergeCell ref="AO10:AP10"/>
    <mergeCell ref="AO46:AP46"/>
    <mergeCell ref="A33:B33"/>
    <mergeCell ref="C54:D54"/>
    <mergeCell ref="C55:D55"/>
    <mergeCell ref="C9:D9"/>
    <mergeCell ref="C10:D10"/>
    <mergeCell ref="C45:D45"/>
    <mergeCell ref="C46:D46"/>
  </mergeCells>
  <conditionalFormatting sqref="A40:B40 A43:A44 A61:A62 A5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10</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5:BI104"/>
  <sheetViews>
    <sheetView view="pageBreakPreview" zoomScale="90" zoomScaleSheetLayoutView="90" zoomScalePageLayoutView="0" workbookViewId="0" topLeftCell="A26">
      <pane xSplit="2" topLeftCell="C1" activePane="topRight" state="frozen"/>
      <selection pane="topLeft" activeCell="B21" sqref="B21:L21"/>
      <selection pane="topRight" activeCell="I77" sqref="I77"/>
    </sheetView>
  </sheetViews>
  <sheetFormatPr defaultColWidth="9.140625" defaultRowHeight="12.75" outlineLevelRow="1"/>
  <cols>
    <col min="1" max="1" width="2.7109375" style="0" customWidth="1"/>
    <col min="2" max="2" width="45.421875" style="0" customWidth="1"/>
    <col min="3" max="3" width="9.57421875" style="0" customWidth="1"/>
    <col min="4" max="4" width="9.7109375" style="0" customWidth="1"/>
    <col min="5" max="5" width="1.57421875" style="3" customWidth="1"/>
    <col min="6" max="8" width="9.57421875" style="3" hidden="1" customWidth="1"/>
    <col min="9" max="17" width="9.57421875" style="3" customWidth="1"/>
    <col min="18" max="24" width="9.57421875" style="3" hidden="1" customWidth="1"/>
    <col min="25" max="25" width="7.7109375" style="3" hidden="1" customWidth="1"/>
    <col min="26" max="26" width="7.00390625" style="3" hidden="1" customWidth="1"/>
    <col min="27" max="27" width="7.57421875" style="3" hidden="1" customWidth="1"/>
    <col min="28" max="28" width="7.00390625" style="3" hidden="1" customWidth="1"/>
    <col min="29" max="30" width="8.00390625" style="0" hidden="1" customWidth="1"/>
    <col min="31" max="37" width="8.57421875" style="0" hidden="1" customWidth="1"/>
    <col min="38" max="38" width="1.57421875" style="0" customWidth="1"/>
    <col min="39" max="41" width="10.140625" style="0" hidden="1" customWidth="1"/>
    <col min="42" max="42" width="9.8515625" style="0" hidden="1" customWidth="1"/>
    <col min="43" max="43" width="1.57421875" style="0" hidden="1" customWidth="1"/>
    <col min="44" max="48" width="9.7109375" style="0" customWidth="1"/>
    <col min="49" max="53" width="9.7109375" style="0" hidden="1" customWidth="1"/>
    <col min="54" max="54" width="1.57421875" style="0" customWidth="1"/>
  </cols>
  <sheetData>
    <row r="1" ht="12.75"/>
    <row r="2" ht="12.75"/>
    <row r="3" ht="12.75"/>
    <row r="4" ht="12.75"/>
    <row r="5" spans="1:31" ht="12.75">
      <c r="A5" s="3"/>
      <c r="B5" s="3"/>
      <c r="C5" s="3"/>
      <c r="D5" s="3"/>
      <c r="AC5" s="3"/>
      <c r="AD5" s="3"/>
      <c r="AE5" s="3"/>
    </row>
    <row r="6" spans="1:31" ht="18" customHeight="1">
      <c r="A6" s="134" t="s">
        <v>94</v>
      </c>
      <c r="B6" s="3"/>
      <c r="C6" s="3"/>
      <c r="D6" s="3"/>
      <c r="AC6" s="3"/>
      <c r="AD6" s="3"/>
      <c r="AE6" s="3"/>
    </row>
    <row r="7" spans="1:31" ht="18" customHeight="1">
      <c r="A7" s="134" t="s">
        <v>264</v>
      </c>
      <c r="B7" s="5"/>
      <c r="C7" s="5"/>
      <c r="D7" s="5"/>
      <c r="E7" s="5"/>
      <c r="F7" s="5"/>
      <c r="G7" s="5"/>
      <c r="H7" s="5"/>
      <c r="I7" s="5"/>
      <c r="J7" s="5"/>
      <c r="K7" s="5"/>
      <c r="L7" s="5"/>
      <c r="M7" s="5"/>
      <c r="N7" s="5"/>
      <c r="O7" s="5"/>
      <c r="P7" s="5"/>
      <c r="Q7" s="5"/>
      <c r="R7" s="5"/>
      <c r="S7" s="5"/>
      <c r="T7" s="5"/>
      <c r="U7" s="5"/>
      <c r="V7" s="5"/>
      <c r="W7" s="5"/>
      <c r="X7" s="5"/>
      <c r="Y7" s="5"/>
      <c r="Z7" s="5"/>
      <c r="AA7" s="5"/>
      <c r="AB7" s="5"/>
      <c r="AC7" s="3"/>
      <c r="AD7" s="3"/>
      <c r="AE7" s="3"/>
    </row>
    <row r="8" spans="1:52" ht="9.75" customHeight="1">
      <c r="A8" s="2"/>
      <c r="B8" s="2"/>
      <c r="C8" s="491"/>
      <c r="D8" s="491"/>
      <c r="E8" s="2"/>
      <c r="F8" s="491"/>
      <c r="G8" s="491"/>
      <c r="H8" s="491"/>
      <c r="I8" s="491"/>
      <c r="J8" s="491"/>
      <c r="K8" s="491"/>
      <c r="L8" s="491"/>
      <c r="M8" s="491"/>
      <c r="N8" s="491"/>
      <c r="O8" s="491"/>
      <c r="P8" s="491"/>
      <c r="Q8" s="491"/>
      <c r="R8" s="491"/>
      <c r="S8" s="491"/>
      <c r="T8" s="491"/>
      <c r="U8" s="491"/>
      <c r="V8" s="491"/>
      <c r="W8" s="491"/>
      <c r="X8" s="491"/>
      <c r="Y8" s="491"/>
      <c r="Z8" s="491"/>
      <c r="AA8" s="491"/>
      <c r="AB8" s="491"/>
      <c r="AC8" s="27"/>
      <c r="AD8" s="27"/>
      <c r="AE8" s="27"/>
      <c r="AO8" s="627"/>
      <c r="AP8" s="627"/>
      <c r="AV8" s="27"/>
      <c r="AW8" s="27"/>
      <c r="AX8" s="27"/>
      <c r="AY8" s="27"/>
      <c r="AZ8" s="27"/>
    </row>
    <row r="9" spans="1:54" ht="12.75">
      <c r="A9" s="6" t="s">
        <v>1</v>
      </c>
      <c r="B9" s="7"/>
      <c r="C9" s="1437" t="s">
        <v>428</v>
      </c>
      <c r="D9" s="1438"/>
      <c r="E9" s="259"/>
      <c r="F9" s="477"/>
      <c r="G9" s="477"/>
      <c r="H9" s="477"/>
      <c r="I9" s="19"/>
      <c r="J9" s="477"/>
      <c r="K9" s="477"/>
      <c r="L9" s="477"/>
      <c r="M9" s="19"/>
      <c r="N9" s="17"/>
      <c r="O9" s="18"/>
      <c r="P9" s="477"/>
      <c r="Q9" s="19"/>
      <c r="R9" s="17"/>
      <c r="S9" s="18"/>
      <c r="T9" s="477"/>
      <c r="U9" s="19"/>
      <c r="W9" s="18"/>
      <c r="X9" s="2"/>
      <c r="Y9" s="19"/>
      <c r="Z9" s="18"/>
      <c r="AB9" s="477"/>
      <c r="AC9" s="19"/>
      <c r="AD9" s="18"/>
      <c r="AE9" s="18"/>
      <c r="AF9" s="18"/>
      <c r="AG9" s="18"/>
      <c r="AH9" s="22"/>
      <c r="AI9" s="19"/>
      <c r="AJ9" s="19"/>
      <c r="AK9" s="19"/>
      <c r="AL9" s="24"/>
      <c r="AM9" s="725" t="s">
        <v>406</v>
      </c>
      <c r="AN9" s="711"/>
      <c r="AO9" s="711" t="s">
        <v>386</v>
      </c>
      <c r="AP9" s="712"/>
      <c r="AQ9" s="15"/>
      <c r="AR9" s="88"/>
      <c r="AS9" s="88"/>
      <c r="AT9" s="88"/>
      <c r="AU9" s="88"/>
      <c r="AV9" s="88"/>
      <c r="AW9" s="22"/>
      <c r="AX9" s="22"/>
      <c r="AY9" s="88"/>
      <c r="AZ9" s="88"/>
      <c r="BA9" s="88"/>
      <c r="BB9" s="25"/>
    </row>
    <row r="10" spans="1:61" ht="13.5">
      <c r="A10" s="6" t="s">
        <v>2</v>
      </c>
      <c r="B10" s="7"/>
      <c r="C10" s="1439" t="s">
        <v>41</v>
      </c>
      <c r="D10" s="1440"/>
      <c r="E10" s="603"/>
      <c r="F10" s="21" t="s">
        <v>431</v>
      </c>
      <c r="G10" s="21" t="s">
        <v>430</v>
      </c>
      <c r="H10" s="21" t="s">
        <v>429</v>
      </c>
      <c r="I10" s="14" t="s">
        <v>427</v>
      </c>
      <c r="J10" s="21" t="s">
        <v>362</v>
      </c>
      <c r="K10" s="21" t="s">
        <v>363</v>
      </c>
      <c r="L10" s="21" t="s">
        <v>364</v>
      </c>
      <c r="M10" s="14" t="s">
        <v>365</v>
      </c>
      <c r="N10" s="20" t="s">
        <v>277</v>
      </c>
      <c r="O10" s="21" t="s">
        <v>278</v>
      </c>
      <c r="P10" s="21" t="s">
        <v>279</v>
      </c>
      <c r="Q10" s="14" t="s">
        <v>276</v>
      </c>
      <c r="R10" s="20" t="s">
        <v>222</v>
      </c>
      <c r="S10" s="21" t="s">
        <v>223</v>
      </c>
      <c r="T10" s="21" t="s">
        <v>224</v>
      </c>
      <c r="U10" s="14" t="s">
        <v>225</v>
      </c>
      <c r="V10" s="21" t="s">
        <v>141</v>
      </c>
      <c r="W10" s="21" t="s">
        <v>140</v>
      </c>
      <c r="X10" s="21" t="s">
        <v>139</v>
      </c>
      <c r="Y10" s="14" t="s">
        <v>138</v>
      </c>
      <c r="Z10" s="21" t="s">
        <v>91</v>
      </c>
      <c r="AA10" s="21" t="s">
        <v>92</v>
      </c>
      <c r="AB10" s="21" t="s">
        <v>93</v>
      </c>
      <c r="AC10" s="14" t="s">
        <v>32</v>
      </c>
      <c r="AD10" s="21" t="s">
        <v>33</v>
      </c>
      <c r="AE10" s="21" t="s">
        <v>34</v>
      </c>
      <c r="AF10" s="21" t="s">
        <v>35</v>
      </c>
      <c r="AG10" s="21" t="s">
        <v>36</v>
      </c>
      <c r="AH10" s="23" t="s">
        <v>37</v>
      </c>
      <c r="AI10" s="14" t="s">
        <v>38</v>
      </c>
      <c r="AJ10" s="14" t="s">
        <v>39</v>
      </c>
      <c r="AK10" s="14" t="s">
        <v>40</v>
      </c>
      <c r="AL10" s="259"/>
      <c r="AM10" s="21" t="s">
        <v>363</v>
      </c>
      <c r="AN10" s="21" t="s">
        <v>278</v>
      </c>
      <c r="AO10" s="1461" t="s">
        <v>41</v>
      </c>
      <c r="AP10" s="1436"/>
      <c r="AQ10" s="16"/>
      <c r="AR10" s="20" t="s">
        <v>367</v>
      </c>
      <c r="AS10" s="20" t="s">
        <v>285</v>
      </c>
      <c r="AT10" s="20" t="s">
        <v>143</v>
      </c>
      <c r="AU10" s="20" t="s">
        <v>142</v>
      </c>
      <c r="AV10" s="20" t="s">
        <v>45</v>
      </c>
      <c r="AW10" s="23" t="s">
        <v>42</v>
      </c>
      <c r="AX10" s="23" t="s">
        <v>43</v>
      </c>
      <c r="AY10" s="14" t="s">
        <v>165</v>
      </c>
      <c r="AZ10" s="14" t="s">
        <v>166</v>
      </c>
      <c r="BA10" s="14" t="s">
        <v>167</v>
      </c>
      <c r="BB10" s="25"/>
      <c r="BC10" s="3"/>
      <c r="BG10" s="3"/>
      <c r="BH10" s="3"/>
      <c r="BI10" s="3"/>
    </row>
    <row r="11" spans="1:61" ht="12.75">
      <c r="A11" s="6"/>
      <c r="B11" s="7"/>
      <c r="C11" s="693"/>
      <c r="D11" s="695"/>
      <c r="E11" s="603"/>
      <c r="F11" s="697" t="s">
        <v>307</v>
      </c>
      <c r="G11" s="697" t="s">
        <v>307</v>
      </c>
      <c r="H11" s="697" t="s">
        <v>307</v>
      </c>
      <c r="I11" s="698" t="s">
        <v>307</v>
      </c>
      <c r="J11" s="697" t="s">
        <v>307</v>
      </c>
      <c r="K11" s="697" t="s">
        <v>307</v>
      </c>
      <c r="L11" s="697" t="s">
        <v>307</v>
      </c>
      <c r="M11" s="698" t="s">
        <v>307</v>
      </c>
      <c r="N11" s="696" t="s">
        <v>307</v>
      </c>
      <c r="O11" s="697" t="s">
        <v>307</v>
      </c>
      <c r="P11" s="697" t="s">
        <v>307</v>
      </c>
      <c r="Q11" s="698" t="s">
        <v>307</v>
      </c>
      <c r="R11" s="696" t="s">
        <v>307</v>
      </c>
      <c r="S11" s="697" t="s">
        <v>307</v>
      </c>
      <c r="T11" s="697" t="s">
        <v>307</v>
      </c>
      <c r="U11" s="698" t="s">
        <v>307</v>
      </c>
      <c r="V11" s="696" t="s">
        <v>308</v>
      </c>
      <c r="W11" s="697" t="s">
        <v>308</v>
      </c>
      <c r="X11" s="698" t="s">
        <v>308</v>
      </c>
      <c r="Y11" s="698" t="s">
        <v>308</v>
      </c>
      <c r="Z11" s="15"/>
      <c r="AA11" s="15"/>
      <c r="AB11" s="15"/>
      <c r="AC11" s="233"/>
      <c r="AD11" s="15"/>
      <c r="AE11" s="15"/>
      <c r="AF11" s="15"/>
      <c r="AG11" s="15"/>
      <c r="AH11" s="259"/>
      <c r="AI11" s="233"/>
      <c r="AJ11" s="233"/>
      <c r="AK11" s="233"/>
      <c r="AL11" s="259"/>
      <c r="AM11" s="696" t="s">
        <v>307</v>
      </c>
      <c r="AN11" s="697" t="s">
        <v>307</v>
      </c>
      <c r="AO11" s="713"/>
      <c r="AP11" s="714"/>
      <c r="AQ11" s="16"/>
      <c r="AR11" s="696" t="s">
        <v>307</v>
      </c>
      <c r="AS11" s="696" t="s">
        <v>307</v>
      </c>
      <c r="AT11" s="696" t="s">
        <v>307</v>
      </c>
      <c r="AU11" s="696" t="s">
        <v>308</v>
      </c>
      <c r="AV11" s="696" t="s">
        <v>308</v>
      </c>
      <c r="AW11" s="699" t="s">
        <v>308</v>
      </c>
      <c r="AX11" s="699" t="s">
        <v>308</v>
      </c>
      <c r="AY11" s="233"/>
      <c r="AZ11" s="233"/>
      <c r="BA11" s="233"/>
      <c r="BB11" s="25"/>
      <c r="BC11" s="3"/>
      <c r="BG11" s="3"/>
      <c r="BH11" s="3"/>
      <c r="BI11" s="3"/>
    </row>
    <row r="12" spans="1:59" ht="12.75" customHeight="1">
      <c r="A12" s="142" t="s">
        <v>68</v>
      </c>
      <c r="B12" s="8"/>
      <c r="C12" s="164"/>
      <c r="D12" s="166"/>
      <c r="E12" s="89"/>
      <c r="F12" s="148"/>
      <c r="G12" s="148"/>
      <c r="H12" s="148"/>
      <c r="I12" s="166"/>
      <c r="J12" s="148"/>
      <c r="K12" s="148"/>
      <c r="L12" s="148"/>
      <c r="M12" s="166"/>
      <c r="N12" s="148"/>
      <c r="O12" s="195"/>
      <c r="P12" s="148"/>
      <c r="Q12" s="166"/>
      <c r="R12" s="148"/>
      <c r="S12" s="195"/>
      <c r="T12" s="148"/>
      <c r="U12" s="166"/>
      <c r="V12" s="148"/>
      <c r="W12" s="195"/>
      <c r="X12" s="148"/>
      <c r="Y12" s="166"/>
      <c r="Z12" s="148"/>
      <c r="AA12" s="195"/>
      <c r="AB12" s="148"/>
      <c r="AC12" s="166"/>
      <c r="AD12" s="195"/>
      <c r="AE12" s="148"/>
      <c r="AF12" s="148"/>
      <c r="AG12" s="166"/>
      <c r="AH12" s="89"/>
      <c r="AI12" s="166"/>
      <c r="AJ12" s="166"/>
      <c r="AK12" s="166"/>
      <c r="AL12" s="89"/>
      <c r="AM12" s="148"/>
      <c r="AN12" s="148"/>
      <c r="AO12" s="195"/>
      <c r="AP12" s="165"/>
      <c r="AQ12" s="83"/>
      <c r="AR12" s="89"/>
      <c r="AS12" s="89"/>
      <c r="AT12" s="89"/>
      <c r="AU12" s="89"/>
      <c r="AV12" s="89"/>
      <c r="AW12" s="89"/>
      <c r="AX12" s="89"/>
      <c r="AY12" s="354"/>
      <c r="AZ12" s="354"/>
      <c r="BA12" s="354"/>
      <c r="BB12" s="25"/>
      <c r="BC12" s="3"/>
      <c r="BG12" s="3"/>
    </row>
    <row r="13" spans="1:59" ht="12.75" customHeight="1">
      <c r="A13" s="7"/>
      <c r="B13" s="83" t="s">
        <v>219</v>
      </c>
      <c r="C13" s="38" t="e">
        <f>I13-M13</f>
        <v>#REF!</v>
      </c>
      <c r="D13" s="45" t="e">
        <f>IF(OR((C13/M13)&gt;3,(C13/M13)&lt;-3),"n.m.",(C13/M13))</f>
        <v>#REF!</v>
      </c>
      <c r="E13" s="592"/>
      <c r="F13" s="465" t="e">
        <f>+#REF!</f>
        <v>#REF!</v>
      </c>
      <c r="G13" s="465" t="e">
        <f>+#REF!</f>
        <v>#REF!</v>
      </c>
      <c r="H13" s="465" t="e">
        <f>+#REF!</f>
        <v>#REF!</v>
      </c>
      <c r="I13" s="216" t="e">
        <f>+#REF!</f>
        <v>#REF!</v>
      </c>
      <c r="J13" s="465" t="e">
        <f>+#REF!</f>
        <v>#REF!</v>
      </c>
      <c r="K13" s="465" t="e">
        <f>+#REF!</f>
        <v>#REF!</v>
      </c>
      <c r="L13" s="465" t="e">
        <f>+#REF!</f>
        <v>#REF!</v>
      </c>
      <c r="M13" s="216" t="e">
        <f>+#REF!</f>
        <v>#REF!</v>
      </c>
      <c r="N13" s="465" t="e">
        <f>#REF!</f>
        <v>#REF!</v>
      </c>
      <c r="O13" s="465" t="e">
        <f>#REF!</f>
        <v>#REF!</v>
      </c>
      <c r="P13" s="465" t="e">
        <f>#REF!</f>
        <v>#REF!</v>
      </c>
      <c r="Q13" s="216" t="e">
        <f>#REF!</f>
        <v>#REF!</v>
      </c>
      <c r="R13" s="465" t="e">
        <f>#REF!</f>
        <v>#REF!</v>
      </c>
      <c r="S13" s="465" t="e">
        <f>#REF!</f>
        <v>#REF!</v>
      </c>
      <c r="T13" s="465" t="e">
        <f>#REF!</f>
        <v>#REF!</v>
      </c>
      <c r="U13" s="216">
        <v>58053</v>
      </c>
      <c r="V13" s="465">
        <v>39289</v>
      </c>
      <c r="W13" s="465">
        <v>67352</v>
      </c>
      <c r="X13" s="465">
        <v>34463</v>
      </c>
      <c r="Y13" s="216">
        <v>36477</v>
      </c>
      <c r="Z13" s="465">
        <v>31276</v>
      </c>
      <c r="AA13" s="465">
        <v>20429</v>
      </c>
      <c r="AB13" s="465">
        <v>29110</v>
      </c>
      <c r="AC13" s="216">
        <v>42035</v>
      </c>
      <c r="AD13" s="213">
        <v>39733</v>
      </c>
      <c r="AE13" s="167">
        <v>52078</v>
      </c>
      <c r="AF13" s="167">
        <v>48387</v>
      </c>
      <c r="AG13" s="168">
        <v>72387</v>
      </c>
      <c r="AH13" s="177">
        <v>68481</v>
      </c>
      <c r="AI13" s="168">
        <v>58781</v>
      </c>
      <c r="AJ13" s="168">
        <v>46473</v>
      </c>
      <c r="AK13" s="168">
        <v>53589</v>
      </c>
      <c r="AL13" s="89"/>
      <c r="AM13" s="380" t="e">
        <f>SUM(K13:M13)</f>
        <v>#REF!</v>
      </c>
      <c r="AN13" s="380" t="e">
        <f>SUM(O13:Q13)</f>
        <v>#REF!</v>
      </c>
      <c r="AO13" s="31" t="e">
        <f>AR13-AS13</f>
        <v>#REF!</v>
      </c>
      <c r="AP13" s="30" t="e">
        <f>IF(OR((AO13/AS13)&gt;3,(AO13/AS13)&lt;-3),"n.m.",(AO13/AS13))</f>
        <v>#REF!</v>
      </c>
      <c r="AQ13" s="83"/>
      <c r="AR13" s="201" t="e">
        <f>SUM(J13:M13)</f>
        <v>#REF!</v>
      </c>
      <c r="AS13" s="201" t="e">
        <f>SUM(N13:Q13)</f>
        <v>#REF!</v>
      </c>
      <c r="AT13" s="201">
        <v>338520</v>
      </c>
      <c r="AU13" s="201">
        <v>177581</v>
      </c>
      <c r="AV13" s="201">
        <v>122850</v>
      </c>
      <c r="AW13" s="201">
        <v>212585</v>
      </c>
      <c r="AX13" s="201">
        <v>227324</v>
      </c>
      <c r="AY13" s="43">
        <v>189074</v>
      </c>
      <c r="AZ13" s="43">
        <v>123564</v>
      </c>
      <c r="BA13" s="43">
        <v>127269</v>
      </c>
      <c r="BB13" s="148"/>
      <c r="BC13" s="148"/>
      <c r="BG13" s="3"/>
    </row>
    <row r="14" spans="1:59" ht="12.75" customHeight="1">
      <c r="A14" s="7"/>
      <c r="B14" s="83" t="s">
        <v>413</v>
      </c>
      <c r="C14" s="38" t="e">
        <f>I14-M14</f>
        <v>#REF!</v>
      </c>
      <c r="D14" s="30" t="e">
        <f>IF(OR((C14/M14)&gt;3,(C14/M14)&lt;-3),"n.m.",(C14/M14))</f>
        <v>#REF!</v>
      </c>
      <c r="E14" s="592"/>
      <c r="F14" s="465" t="e">
        <f>+#REF!</f>
        <v>#REF!</v>
      </c>
      <c r="G14" s="465" t="e">
        <f>+#REF!</f>
        <v>#REF!</v>
      </c>
      <c r="H14" s="465" t="e">
        <f>+#REF!</f>
        <v>#REF!</v>
      </c>
      <c r="I14" s="216" t="e">
        <f>+#REF!</f>
        <v>#REF!</v>
      </c>
      <c r="J14" s="465" t="e">
        <f>+#REF!</f>
        <v>#REF!</v>
      </c>
      <c r="K14" s="465" t="e">
        <f>+#REF!</f>
        <v>#REF!</v>
      </c>
      <c r="L14" s="465" t="e">
        <f>+#REF!</f>
        <v>#REF!</v>
      </c>
      <c r="M14" s="216" t="e">
        <f>+#REF!</f>
        <v>#REF!</v>
      </c>
      <c r="N14" s="465" t="e">
        <f>#REF!</f>
        <v>#REF!</v>
      </c>
      <c r="O14" s="465" t="e">
        <f>#REF!</f>
        <v>#REF!</v>
      </c>
      <c r="P14" s="465" t="e">
        <f>#REF!</f>
        <v>#REF!</v>
      </c>
      <c r="Q14" s="216" t="e">
        <f>#REF!</f>
        <v>#REF!</v>
      </c>
      <c r="R14" s="465" t="e">
        <f>#REF!</f>
        <v>#REF!</v>
      </c>
      <c r="S14" s="465" t="e">
        <f>#REF!</f>
        <v>#REF!</v>
      </c>
      <c r="T14" s="465" t="e">
        <f>#REF!</f>
        <v>#REF!</v>
      </c>
      <c r="U14" s="216">
        <v>46307</v>
      </c>
      <c r="V14" s="465">
        <v>54086</v>
      </c>
      <c r="W14" s="465">
        <v>50900</v>
      </c>
      <c r="X14" s="465">
        <v>39596</v>
      </c>
      <c r="Y14" s="216">
        <v>39676</v>
      </c>
      <c r="Z14" s="465">
        <v>36739</v>
      </c>
      <c r="AA14" s="465">
        <v>33072</v>
      </c>
      <c r="AB14" s="465">
        <v>43016</v>
      </c>
      <c r="AC14" s="216">
        <v>56801</v>
      </c>
      <c r="AD14" s="212">
        <v>53686</v>
      </c>
      <c r="AE14" s="212">
        <v>60447</v>
      </c>
      <c r="AF14" s="212">
        <v>56588</v>
      </c>
      <c r="AG14" s="212">
        <v>74990</v>
      </c>
      <c r="AH14" s="161">
        <v>74727</v>
      </c>
      <c r="AI14" s="216">
        <v>67907</v>
      </c>
      <c r="AJ14" s="216">
        <v>54960</v>
      </c>
      <c r="AK14" s="216">
        <v>70996</v>
      </c>
      <c r="AL14" s="89"/>
      <c r="AM14" s="380" t="e">
        <f>SUM(K14:M14)</f>
        <v>#REF!</v>
      </c>
      <c r="AN14" s="380" t="e">
        <f>SUM(O14:Q14)</f>
        <v>#REF!</v>
      </c>
      <c r="AO14" s="31" t="e">
        <f>AR14-AS14</f>
        <v>#REF!</v>
      </c>
      <c r="AP14" s="30" t="e">
        <f aca="true" t="shared" si="0" ref="AP14:AP31">IF(OR((AO14/AS14)&gt;3,(AO14/AS14)&lt;-3),"n.m.",(AO14/AS14))</f>
        <v>#REF!</v>
      </c>
      <c r="AQ14" s="83"/>
      <c r="AR14" s="201" t="e">
        <f>SUM(J14:M14)</f>
        <v>#REF!</v>
      </c>
      <c r="AS14" s="201" t="e">
        <f>SUM(N14:Q14)</f>
        <v>#REF!</v>
      </c>
      <c r="AT14" s="201">
        <v>228098</v>
      </c>
      <c r="AU14" s="201">
        <v>184258</v>
      </c>
      <c r="AV14" s="201">
        <v>169628</v>
      </c>
      <c r="AW14" s="201">
        <v>245711</v>
      </c>
      <c r="AX14" s="201">
        <v>268590</v>
      </c>
      <c r="AY14" s="43">
        <v>223925</v>
      </c>
      <c r="AZ14" s="43">
        <v>178176</v>
      </c>
      <c r="BA14" s="43">
        <v>175983</v>
      </c>
      <c r="BB14" s="148"/>
      <c r="BC14" s="148"/>
      <c r="BG14" s="3"/>
    </row>
    <row r="15" spans="1:59" ht="12.75" customHeight="1">
      <c r="A15" s="7"/>
      <c r="B15" s="83" t="s">
        <v>103</v>
      </c>
      <c r="C15" s="38">
        <f>I15-M15</f>
        <v>-2689</v>
      </c>
      <c r="D15" s="30">
        <f>IF(OR((C15/M15)&gt;3,(C15/M15)&lt;-3),"n.m.",(C15/M15))</f>
        <v>-0.5494483040457704</v>
      </c>
      <c r="E15" s="592"/>
      <c r="F15" s="465">
        <f>+'10 Other'!F13</f>
        <v>0</v>
      </c>
      <c r="G15" s="465">
        <f>+'10 Other'!G13</f>
        <v>4988</v>
      </c>
      <c r="H15" s="465">
        <f>+'10 Other'!H13</f>
        <v>6372</v>
      </c>
      <c r="I15" s="216">
        <f>+'10 Other'!I13</f>
        <v>2205</v>
      </c>
      <c r="J15" s="465">
        <f>+'10 Other'!J13</f>
        <v>5045</v>
      </c>
      <c r="K15" s="465">
        <f>+'10 Other'!K13</f>
        <v>4535</v>
      </c>
      <c r="L15" s="465">
        <f>+'10 Other'!L13</f>
        <v>10003</v>
      </c>
      <c r="M15" s="216">
        <f>+'10 Other'!M15</f>
        <v>4894</v>
      </c>
      <c r="N15" s="465">
        <f>'10 Other'!N13</f>
        <v>10101</v>
      </c>
      <c r="O15" s="465">
        <f>'10 Other'!O13</f>
        <v>9737</v>
      </c>
      <c r="P15" s="465">
        <f>'10 Other'!P13</f>
        <v>2636</v>
      </c>
      <c r="Q15" s="216">
        <f>'10 Other'!Q13</f>
        <v>7623</v>
      </c>
      <c r="R15" s="465">
        <f>'10 Other'!R13</f>
        <v>11120</v>
      </c>
      <c r="S15" s="465">
        <f>'10 Other'!S13</f>
        <v>8477</v>
      </c>
      <c r="T15" s="465">
        <f>'10 Other'!T13</f>
        <v>7783</v>
      </c>
      <c r="U15" s="216">
        <v>4558</v>
      </c>
      <c r="V15" s="465">
        <v>4647</v>
      </c>
      <c r="W15" s="465">
        <v>5374</v>
      </c>
      <c r="X15" s="465">
        <v>5131</v>
      </c>
      <c r="Y15" s="216">
        <v>11781</v>
      </c>
      <c r="Z15" s="465">
        <v>4769</v>
      </c>
      <c r="AA15" s="465">
        <v>4406</v>
      </c>
      <c r="AB15" s="465">
        <v>8649</v>
      </c>
      <c r="AC15" s="216">
        <v>10062</v>
      </c>
      <c r="AD15" s="212">
        <v>11018</v>
      </c>
      <c r="AE15" s="212">
        <v>12605</v>
      </c>
      <c r="AF15" s="212">
        <v>12383</v>
      </c>
      <c r="AG15" s="212">
        <v>14764</v>
      </c>
      <c r="AH15" s="161">
        <v>10416</v>
      </c>
      <c r="AI15" s="216">
        <v>8017</v>
      </c>
      <c r="AJ15" s="216">
        <v>6975</v>
      </c>
      <c r="AK15" s="216">
        <v>8665</v>
      </c>
      <c r="AL15" s="89"/>
      <c r="AM15" s="380">
        <f>SUM(K15:M15)</f>
        <v>19432</v>
      </c>
      <c r="AN15" s="380">
        <f>SUM(O15:Q15)</f>
        <v>19996</v>
      </c>
      <c r="AO15" s="31">
        <f>AR15-AS15</f>
        <v>-5620</v>
      </c>
      <c r="AP15" s="30">
        <f t="shared" si="0"/>
        <v>-0.18672957437618368</v>
      </c>
      <c r="AQ15" s="83"/>
      <c r="AR15" s="201">
        <f>SUM(J15:M15)</f>
        <v>24477</v>
      </c>
      <c r="AS15" s="201">
        <f>SUM(N15:Q15)</f>
        <v>30097</v>
      </c>
      <c r="AT15" s="201">
        <v>31938</v>
      </c>
      <c r="AU15" s="201">
        <v>26933</v>
      </c>
      <c r="AV15" s="201">
        <v>27886</v>
      </c>
      <c r="AW15" s="201">
        <v>50770</v>
      </c>
      <c r="AX15" s="201">
        <v>34578</v>
      </c>
      <c r="AY15" s="43">
        <v>24555</v>
      </c>
      <c r="AZ15" s="43">
        <v>14948</v>
      </c>
      <c r="BA15" s="43">
        <v>14416</v>
      </c>
      <c r="BB15" s="148"/>
      <c r="BC15" s="148"/>
      <c r="BG15" s="3"/>
    </row>
    <row r="16" spans="1:59" ht="12.75" customHeight="1">
      <c r="A16" s="8"/>
      <c r="B16" s="7"/>
      <c r="C16" s="169" t="e">
        <f>I16-M16</f>
        <v>#REF!</v>
      </c>
      <c r="D16" s="170" t="e">
        <f>IF(OR((C16/M16)&gt;3,(C16/M16)&lt;-3),"n.m.",(C16/M16))</f>
        <v>#REF!</v>
      </c>
      <c r="E16" s="592"/>
      <c r="F16" s="220" t="e">
        <f aca="true" t="shared" si="1" ref="F16:K16">SUM(F13:F15)</f>
        <v>#REF!</v>
      </c>
      <c r="G16" s="220" t="e">
        <f t="shared" si="1"/>
        <v>#REF!</v>
      </c>
      <c r="H16" s="220" t="e">
        <f t="shared" si="1"/>
        <v>#REF!</v>
      </c>
      <c r="I16" s="221" t="e">
        <f t="shared" si="1"/>
        <v>#REF!</v>
      </c>
      <c r="J16" s="220" t="e">
        <f t="shared" si="1"/>
        <v>#REF!</v>
      </c>
      <c r="K16" s="220" t="e">
        <f t="shared" si="1"/>
        <v>#REF!</v>
      </c>
      <c r="L16" s="220" t="e">
        <f aca="true" t="shared" si="2" ref="L16:Q16">SUM(L13:L15)</f>
        <v>#REF!</v>
      </c>
      <c r="M16" s="221" t="e">
        <f t="shared" si="2"/>
        <v>#REF!</v>
      </c>
      <c r="N16" s="220" t="e">
        <f t="shared" si="2"/>
        <v>#REF!</v>
      </c>
      <c r="O16" s="220" t="e">
        <f t="shared" si="2"/>
        <v>#REF!</v>
      </c>
      <c r="P16" s="220" t="e">
        <f t="shared" si="2"/>
        <v>#REF!</v>
      </c>
      <c r="Q16" s="221" t="e">
        <f t="shared" si="2"/>
        <v>#REF!</v>
      </c>
      <c r="R16" s="220" t="e">
        <f>SUM(R13:R15)</f>
        <v>#REF!</v>
      </c>
      <c r="S16" s="220" t="e">
        <f>SUM(S13:S15)</f>
        <v>#REF!</v>
      </c>
      <c r="T16" s="220" t="e">
        <f>SUM(T13:T15)</f>
        <v>#REF!</v>
      </c>
      <c r="U16" s="221">
        <f>SUM(U13:U15)</f>
        <v>108918</v>
      </c>
      <c r="V16" s="220">
        <v>98022</v>
      </c>
      <c r="W16" s="220">
        <v>123626</v>
      </c>
      <c r="X16" s="220">
        <v>79190</v>
      </c>
      <c r="Y16" s="221">
        <v>87934</v>
      </c>
      <c r="Z16" s="220">
        <v>72784</v>
      </c>
      <c r="AA16" s="220">
        <v>57907</v>
      </c>
      <c r="AB16" s="220">
        <v>80775</v>
      </c>
      <c r="AC16" s="220">
        <v>108898</v>
      </c>
      <c r="AD16" s="178">
        <v>104437</v>
      </c>
      <c r="AE16" s="220">
        <v>125130</v>
      </c>
      <c r="AF16" s="220">
        <v>117358</v>
      </c>
      <c r="AG16" s="220">
        <v>162141</v>
      </c>
      <c r="AH16" s="178">
        <v>153624</v>
      </c>
      <c r="AI16" s="221">
        <v>134705</v>
      </c>
      <c r="AJ16" s="221">
        <v>108408</v>
      </c>
      <c r="AK16" s="221">
        <v>133250</v>
      </c>
      <c r="AL16" s="89"/>
      <c r="AM16" s="220" t="e">
        <f>SUM(AM13:AM15)</f>
        <v>#REF!</v>
      </c>
      <c r="AN16" s="220" t="e">
        <f>SUM(AN13:AN15)</f>
        <v>#REF!</v>
      </c>
      <c r="AO16" s="389" t="e">
        <f>AR16-AS16</f>
        <v>#REF!</v>
      </c>
      <c r="AP16" s="170" t="e">
        <f t="shared" si="0"/>
        <v>#REF!</v>
      </c>
      <c r="AQ16" s="83"/>
      <c r="AR16" s="202" t="e">
        <f>SUM(AR13:AR15)</f>
        <v>#REF!</v>
      </c>
      <c r="AS16" s="202" t="e">
        <f>SUM(AS13:AS15)</f>
        <v>#REF!</v>
      </c>
      <c r="AT16" s="202">
        <v>598556</v>
      </c>
      <c r="AU16" s="202">
        <v>388772</v>
      </c>
      <c r="AV16" s="202">
        <v>320364</v>
      </c>
      <c r="AW16" s="202">
        <v>509066</v>
      </c>
      <c r="AX16" s="202">
        <v>530492</v>
      </c>
      <c r="AY16" s="202">
        <f>SUM(AY13:AY15)</f>
        <v>437554</v>
      </c>
      <c r="AZ16" s="202">
        <f>SUM(AZ13:AZ15)</f>
        <v>316688</v>
      </c>
      <c r="BA16" s="355">
        <v>317668</v>
      </c>
      <c r="BB16" s="148"/>
      <c r="BC16" s="148"/>
      <c r="BG16" s="3"/>
    </row>
    <row r="17" spans="1:59" ht="12.75" customHeight="1">
      <c r="A17" s="142" t="s">
        <v>5</v>
      </c>
      <c r="B17" s="7"/>
      <c r="C17" s="38"/>
      <c r="D17" s="30"/>
      <c r="E17" s="592"/>
      <c r="F17" s="465"/>
      <c r="G17" s="465"/>
      <c r="H17" s="465"/>
      <c r="I17" s="216"/>
      <c r="J17" s="465"/>
      <c r="K17" s="465"/>
      <c r="L17" s="465"/>
      <c r="M17" s="216"/>
      <c r="N17" s="465"/>
      <c r="O17" s="465"/>
      <c r="P17" s="465"/>
      <c r="Q17" s="216"/>
      <c r="R17" s="465"/>
      <c r="S17" s="465"/>
      <c r="T17" s="465"/>
      <c r="U17" s="216"/>
      <c r="V17" s="465"/>
      <c r="W17" s="465"/>
      <c r="X17" s="465"/>
      <c r="Y17" s="216"/>
      <c r="Z17" s="476"/>
      <c r="AA17" s="465"/>
      <c r="AB17" s="465"/>
      <c r="AC17" s="216"/>
      <c r="AD17" s="224"/>
      <c r="AE17" s="212"/>
      <c r="AF17" s="212"/>
      <c r="AG17" s="212"/>
      <c r="AH17" s="161"/>
      <c r="AI17" s="216"/>
      <c r="AJ17" s="216"/>
      <c r="AK17" s="216"/>
      <c r="AL17" s="89"/>
      <c r="AM17" s="148"/>
      <c r="AN17" s="148"/>
      <c r="AO17" s="31"/>
      <c r="AP17" s="30"/>
      <c r="AQ17" s="83"/>
      <c r="AR17" s="203"/>
      <c r="AS17" s="203"/>
      <c r="AT17" s="203"/>
      <c r="AU17" s="203"/>
      <c r="AV17" s="203"/>
      <c r="AW17" s="201"/>
      <c r="AX17" s="201"/>
      <c r="AY17" s="43"/>
      <c r="AZ17" s="43"/>
      <c r="BA17" s="43"/>
      <c r="BB17" s="148"/>
      <c r="BC17" s="148"/>
      <c r="BG17" s="3"/>
    </row>
    <row r="18" spans="1:59" ht="12.75" customHeight="1">
      <c r="A18" s="142"/>
      <c r="B18" s="7" t="s">
        <v>399</v>
      </c>
      <c r="C18" s="38">
        <f aca="true" t="shared" si="3" ref="C18:C36">I18-M18</f>
        <v>-9081</v>
      </c>
      <c r="D18" s="30">
        <f aca="true" t="shared" si="4" ref="D18:D29">IF(OR((C18/M18)&gt;3,(C18/M18)&lt;-3),"n.m.",(C18/M18))</f>
        <v>-0.28840473846349285</v>
      </c>
      <c r="E18" s="592"/>
      <c r="F18" s="465"/>
      <c r="G18" s="465"/>
      <c r="H18" s="465"/>
      <c r="I18" s="216">
        <v>22406</v>
      </c>
      <c r="J18" s="465">
        <v>42572</v>
      </c>
      <c r="K18" s="465">
        <v>50525</v>
      </c>
      <c r="L18" s="465">
        <v>31407</v>
      </c>
      <c r="M18" s="216">
        <v>31487</v>
      </c>
      <c r="N18" s="465">
        <v>57210</v>
      </c>
      <c r="O18" s="465">
        <v>46334</v>
      </c>
      <c r="P18" s="465">
        <v>38835</v>
      </c>
      <c r="Q18" s="216">
        <v>58739</v>
      </c>
      <c r="R18" s="465">
        <v>89001</v>
      </c>
      <c r="S18" s="465">
        <v>93267</v>
      </c>
      <c r="T18" s="465">
        <v>46394</v>
      </c>
      <c r="U18" s="216"/>
      <c r="V18" s="465"/>
      <c r="W18" s="465"/>
      <c r="X18" s="465"/>
      <c r="Y18" s="216"/>
      <c r="Z18" s="465"/>
      <c r="AA18" s="465"/>
      <c r="AB18" s="465"/>
      <c r="AC18" s="216"/>
      <c r="AD18" s="174"/>
      <c r="AE18" s="212"/>
      <c r="AF18" s="212"/>
      <c r="AG18" s="212"/>
      <c r="AH18" s="161"/>
      <c r="AI18" s="216"/>
      <c r="AJ18" s="216"/>
      <c r="AK18" s="216"/>
      <c r="AL18" s="89"/>
      <c r="AM18" s="380">
        <f aca="true" t="shared" si="5" ref="AM18:AM34">SUM(K18:M18)</f>
        <v>113419</v>
      </c>
      <c r="AN18" s="380">
        <f aca="true" t="shared" si="6" ref="AN18:AN34">SUM(O18:Q18)</f>
        <v>143908</v>
      </c>
      <c r="AO18" s="31">
        <f aca="true" t="shared" si="7" ref="AO18:AO31">AR18-AS18</f>
        <v>-45126</v>
      </c>
      <c r="AP18" s="30">
        <f t="shared" si="0"/>
        <v>-0.22437685526335416</v>
      </c>
      <c r="AQ18" s="83"/>
      <c r="AR18" s="201">
        <f aca="true" t="shared" si="8" ref="AR18:AR34">SUM(J18:M18)</f>
        <v>155991</v>
      </c>
      <c r="AS18" s="201">
        <v>201117</v>
      </c>
      <c r="AT18" s="201">
        <v>277879</v>
      </c>
      <c r="AU18" s="201">
        <v>182044</v>
      </c>
      <c r="AV18" s="201">
        <v>141136</v>
      </c>
      <c r="AW18" s="201">
        <v>226244</v>
      </c>
      <c r="AX18" s="201"/>
      <c r="AY18" s="43"/>
      <c r="AZ18" s="43"/>
      <c r="BA18" s="43"/>
      <c r="BB18" s="148"/>
      <c r="BC18" s="148"/>
      <c r="BG18" s="3"/>
    </row>
    <row r="19" spans="1:59" ht="12.75" customHeight="1">
      <c r="A19" s="142"/>
      <c r="B19" s="7" t="s">
        <v>400</v>
      </c>
      <c r="C19" s="471">
        <f t="shared" si="3"/>
        <v>1347</v>
      </c>
      <c r="D19" s="149">
        <f t="shared" si="4"/>
        <v>0.3209435310936383</v>
      </c>
      <c r="E19" s="592"/>
      <c r="F19" s="475"/>
      <c r="G19" s="475"/>
      <c r="H19" s="475"/>
      <c r="I19" s="219">
        <v>5544</v>
      </c>
      <c r="J19" s="475">
        <v>5436</v>
      </c>
      <c r="K19" s="475">
        <v>6168</v>
      </c>
      <c r="L19" s="475">
        <v>7680</v>
      </c>
      <c r="M19" s="219">
        <v>4197</v>
      </c>
      <c r="N19" s="475">
        <v>7417</v>
      </c>
      <c r="O19" s="475">
        <v>4597</v>
      </c>
      <c r="P19" s="475">
        <v>5903</v>
      </c>
      <c r="Q19" s="219">
        <v>-2011</v>
      </c>
      <c r="R19" s="475">
        <v>-2346</v>
      </c>
      <c r="S19" s="475">
        <v>2005</v>
      </c>
      <c r="T19" s="475">
        <v>2966</v>
      </c>
      <c r="U19" s="216"/>
      <c r="V19" s="465"/>
      <c r="W19" s="465"/>
      <c r="X19" s="465"/>
      <c r="Y19" s="216"/>
      <c r="Z19" s="465"/>
      <c r="AA19" s="465"/>
      <c r="AB19" s="465"/>
      <c r="AC19" s="216"/>
      <c r="AD19" s="174"/>
      <c r="AE19" s="212"/>
      <c r="AF19" s="212"/>
      <c r="AG19" s="212"/>
      <c r="AH19" s="161"/>
      <c r="AI19" s="216"/>
      <c r="AJ19" s="216"/>
      <c r="AK19" s="216"/>
      <c r="AL19" s="89"/>
      <c r="AM19" s="388">
        <f t="shared" si="5"/>
        <v>18045</v>
      </c>
      <c r="AN19" s="388">
        <f t="shared" si="6"/>
        <v>8489</v>
      </c>
      <c r="AO19" s="158">
        <f t="shared" si="7"/>
        <v>7574</v>
      </c>
      <c r="AP19" s="149">
        <f t="shared" si="0"/>
        <v>0.47614257873891996</v>
      </c>
      <c r="AQ19" s="83"/>
      <c r="AR19" s="207">
        <f t="shared" si="8"/>
        <v>23481</v>
      </c>
      <c r="AS19" s="207">
        <v>15907</v>
      </c>
      <c r="AT19" s="207">
        <v>3497</v>
      </c>
      <c r="AU19" s="207">
        <v>13721</v>
      </c>
      <c r="AV19" s="207">
        <v>4928</v>
      </c>
      <c r="AW19" s="207">
        <v>5477</v>
      </c>
      <c r="AX19" s="201"/>
      <c r="AY19" s="43"/>
      <c r="AZ19" s="43"/>
      <c r="BA19" s="43"/>
      <c r="BB19" s="148"/>
      <c r="BC19" s="148"/>
      <c r="BG19" s="3"/>
    </row>
    <row r="20" spans="1:59" ht="12.75" customHeight="1">
      <c r="A20" s="8"/>
      <c r="B20" s="83" t="s">
        <v>260</v>
      </c>
      <c r="C20" s="38">
        <f t="shared" si="3"/>
        <v>-7734</v>
      </c>
      <c r="D20" s="30">
        <f t="shared" si="4"/>
        <v>-0.21673579195157494</v>
      </c>
      <c r="E20" s="592"/>
      <c r="F20" s="465"/>
      <c r="G20" s="465"/>
      <c r="H20" s="465"/>
      <c r="I20" s="216">
        <f>+I18+I19</f>
        <v>27950</v>
      </c>
      <c r="J20" s="465">
        <f>SUM(J18:J19)</f>
        <v>48008</v>
      </c>
      <c r="K20" s="465">
        <f>SUM(K18:K19)</f>
        <v>56693</v>
      </c>
      <c r="L20" s="465">
        <v>39087</v>
      </c>
      <c r="M20" s="216">
        <v>35684</v>
      </c>
      <c r="N20" s="465">
        <v>64627</v>
      </c>
      <c r="O20" s="465">
        <f>51829-898</f>
        <v>50931</v>
      </c>
      <c r="P20" s="465">
        <v>44738</v>
      </c>
      <c r="Q20" s="216">
        <v>56728</v>
      </c>
      <c r="R20" s="465">
        <v>86655</v>
      </c>
      <c r="S20" s="465">
        <v>95272</v>
      </c>
      <c r="T20" s="465">
        <v>49360</v>
      </c>
      <c r="U20" s="216">
        <v>50089</v>
      </c>
      <c r="V20" s="465">
        <v>48182</v>
      </c>
      <c r="W20" s="465">
        <v>65080</v>
      </c>
      <c r="X20" s="465">
        <v>38928</v>
      </c>
      <c r="Y20" s="216">
        <v>43575</v>
      </c>
      <c r="Z20" s="465">
        <v>29690</v>
      </c>
      <c r="AA20" s="465">
        <v>28216</v>
      </c>
      <c r="AB20" s="465">
        <v>35846</v>
      </c>
      <c r="AC20" s="216">
        <v>52312</v>
      </c>
      <c r="AD20" s="174">
        <v>42278</v>
      </c>
      <c r="AE20" s="212">
        <v>58353</v>
      </c>
      <c r="AF20" s="212">
        <v>52413</v>
      </c>
      <c r="AG20" s="212">
        <v>78677</v>
      </c>
      <c r="AH20" s="161">
        <v>77445</v>
      </c>
      <c r="AI20" s="216">
        <v>67818</v>
      </c>
      <c r="AJ20" s="216">
        <v>52505</v>
      </c>
      <c r="AK20" s="216">
        <v>65428</v>
      </c>
      <c r="AL20" s="89"/>
      <c r="AM20" s="380">
        <f t="shared" si="5"/>
        <v>131464</v>
      </c>
      <c r="AN20" s="380">
        <f t="shared" si="6"/>
        <v>152397</v>
      </c>
      <c r="AO20" s="31">
        <f t="shared" si="7"/>
        <v>-37552</v>
      </c>
      <c r="AP20" s="30">
        <f t="shared" si="0"/>
        <v>-0.17303155411383073</v>
      </c>
      <c r="AQ20" s="83"/>
      <c r="AR20" s="201">
        <f>SUM(AR18:AR19)</f>
        <v>179472</v>
      </c>
      <c r="AS20" s="201">
        <f>SUM(N20:Q20)</f>
        <v>217024</v>
      </c>
      <c r="AT20" s="201">
        <f>SUM(R20:U20)</f>
        <v>281376</v>
      </c>
      <c r="AU20" s="201">
        <v>195765</v>
      </c>
      <c r="AV20" s="201">
        <v>146064</v>
      </c>
      <c r="AW20" s="201">
        <v>231721</v>
      </c>
      <c r="AX20" s="201">
        <v>263196</v>
      </c>
      <c r="AY20" s="43">
        <v>221165</v>
      </c>
      <c r="AZ20" s="43">
        <v>154427</v>
      </c>
      <c r="BA20" s="43">
        <v>164826</v>
      </c>
      <c r="BB20" s="148"/>
      <c r="BC20" s="148"/>
      <c r="BG20" s="3"/>
    </row>
    <row r="21" spans="1:59" ht="12.75" customHeight="1">
      <c r="A21" s="8"/>
      <c r="B21" s="83" t="s">
        <v>74</v>
      </c>
      <c r="C21" s="38">
        <f t="shared" si="3"/>
        <v>-1085</v>
      </c>
      <c r="D21" s="30">
        <f t="shared" si="4"/>
        <v>-0.07994400235779546</v>
      </c>
      <c r="E21" s="592"/>
      <c r="F21" s="465"/>
      <c r="G21" s="465"/>
      <c r="H21" s="465"/>
      <c r="I21" s="216">
        <v>12487</v>
      </c>
      <c r="J21" s="465">
        <v>12411</v>
      </c>
      <c r="K21" s="465">
        <v>11698</v>
      </c>
      <c r="L21" s="465">
        <v>12687</v>
      </c>
      <c r="M21" s="216">
        <v>13572</v>
      </c>
      <c r="N21" s="465">
        <v>13896</v>
      </c>
      <c r="O21" s="465">
        <f>16652-4300-275</f>
        <v>12077</v>
      </c>
      <c r="P21" s="465">
        <v>11648</v>
      </c>
      <c r="Q21" s="216">
        <v>13773</v>
      </c>
      <c r="R21" s="465">
        <v>14496</v>
      </c>
      <c r="S21" s="465">
        <v>12178</v>
      </c>
      <c r="T21" s="465">
        <v>13744</v>
      </c>
      <c r="U21" s="216">
        <v>13380</v>
      </c>
      <c r="V21" s="465">
        <v>13818</v>
      </c>
      <c r="W21" s="465">
        <v>12075</v>
      </c>
      <c r="X21" s="465">
        <v>11462</v>
      </c>
      <c r="Y21" s="216">
        <v>11235</v>
      </c>
      <c r="Z21" s="465">
        <v>11808</v>
      </c>
      <c r="AA21" s="465">
        <v>10244</v>
      </c>
      <c r="AB21" s="465">
        <v>11347</v>
      </c>
      <c r="AC21" s="216">
        <v>12594</v>
      </c>
      <c r="AD21" s="174">
        <v>12403</v>
      </c>
      <c r="AE21" s="212">
        <v>10559</v>
      </c>
      <c r="AF21" s="212">
        <v>10399</v>
      </c>
      <c r="AG21" s="212">
        <v>11856</v>
      </c>
      <c r="AH21" s="161">
        <v>11055</v>
      </c>
      <c r="AI21" s="216">
        <v>9161</v>
      </c>
      <c r="AJ21" s="216">
        <v>9102</v>
      </c>
      <c r="AK21" s="216">
        <v>10041</v>
      </c>
      <c r="AL21" s="89"/>
      <c r="AM21" s="380">
        <f t="shared" si="5"/>
        <v>37957</v>
      </c>
      <c r="AN21" s="380">
        <f t="shared" si="6"/>
        <v>37498</v>
      </c>
      <c r="AO21" s="31">
        <f t="shared" si="7"/>
        <v>-1026</v>
      </c>
      <c r="AP21" s="30">
        <f t="shared" si="0"/>
        <v>-0.01996341985445772</v>
      </c>
      <c r="AQ21" s="83"/>
      <c r="AR21" s="201">
        <f t="shared" si="8"/>
        <v>50368</v>
      </c>
      <c r="AS21" s="201">
        <f aca="true" t="shared" si="9" ref="AS21:AS34">SUM(N21:Q21)</f>
        <v>51394</v>
      </c>
      <c r="AT21" s="201">
        <f aca="true" t="shared" si="10" ref="AT21:AT31">SUM(R21:U21)</f>
        <v>53798</v>
      </c>
      <c r="AU21" s="201">
        <v>48590</v>
      </c>
      <c r="AV21" s="201">
        <v>45993</v>
      </c>
      <c r="AW21" s="201">
        <v>45217</v>
      </c>
      <c r="AX21" s="201">
        <v>39359</v>
      </c>
      <c r="AY21" s="43">
        <v>37196</v>
      </c>
      <c r="AZ21" s="43">
        <v>36920</v>
      </c>
      <c r="BA21" s="43">
        <v>31335</v>
      </c>
      <c r="BB21" s="148"/>
      <c r="BC21" s="148"/>
      <c r="BG21" s="3"/>
    </row>
    <row r="22" spans="1:59" ht="12.75" customHeight="1" hidden="1">
      <c r="A22" s="8"/>
      <c r="B22" s="7" t="s">
        <v>231</v>
      </c>
      <c r="C22" s="38">
        <f t="shared" si="3"/>
        <v>0</v>
      </c>
      <c r="D22" s="30" t="e">
        <f t="shared" si="4"/>
        <v>#DIV/0!</v>
      </c>
      <c r="E22" s="592"/>
      <c r="F22" s="31"/>
      <c r="G22" s="31"/>
      <c r="H22" s="31"/>
      <c r="I22" s="28"/>
      <c r="J22" s="31"/>
      <c r="K22" s="31"/>
      <c r="L22" s="31"/>
      <c r="M22" s="28"/>
      <c r="N22" s="31"/>
      <c r="O22" s="31"/>
      <c r="P22" s="31"/>
      <c r="Q22" s="28"/>
      <c r="R22" s="31"/>
      <c r="S22" s="31"/>
      <c r="T22" s="31"/>
      <c r="U22" s="28"/>
      <c r="V22" s="31">
        <v>0</v>
      </c>
      <c r="W22" s="31">
        <v>0</v>
      </c>
      <c r="X22" s="31">
        <v>0</v>
      </c>
      <c r="Y22" s="28">
        <v>0</v>
      </c>
      <c r="Z22" s="31">
        <v>0</v>
      </c>
      <c r="AA22" s="31">
        <v>0</v>
      </c>
      <c r="AB22" s="31">
        <v>0</v>
      </c>
      <c r="AC22" s="28">
        <v>0</v>
      </c>
      <c r="AD22" s="234"/>
      <c r="AE22" s="234"/>
      <c r="AF22" s="234"/>
      <c r="AG22" s="238"/>
      <c r="AH22" s="201"/>
      <c r="AI22" s="238"/>
      <c r="AJ22" s="238"/>
      <c r="AK22" s="238"/>
      <c r="AL22" s="203"/>
      <c r="AM22" s="380">
        <f t="shared" si="5"/>
        <v>0</v>
      </c>
      <c r="AN22" s="380">
        <f t="shared" si="6"/>
        <v>0</v>
      </c>
      <c r="AO22" s="254">
        <f t="shared" si="7"/>
        <v>0</v>
      </c>
      <c r="AP22" s="30" t="e">
        <f t="shared" si="0"/>
        <v>#DIV/0!</v>
      </c>
      <c r="AQ22" s="243"/>
      <c r="AR22" s="201">
        <f t="shared" si="8"/>
        <v>0</v>
      </c>
      <c r="AS22" s="201">
        <f t="shared" si="9"/>
        <v>0</v>
      </c>
      <c r="AT22" s="201">
        <f t="shared" si="10"/>
        <v>0</v>
      </c>
      <c r="AU22" s="43">
        <v>0</v>
      </c>
      <c r="AV22" s="43">
        <v>0</v>
      </c>
      <c r="AW22" s="43">
        <v>0</v>
      </c>
      <c r="AX22" s="43">
        <v>0</v>
      </c>
      <c r="AY22" s="43">
        <v>0</v>
      </c>
      <c r="AZ22" s="43"/>
      <c r="BA22" s="43"/>
      <c r="BB22" s="148"/>
      <c r="BC22" s="148"/>
      <c r="BG22" s="3"/>
    </row>
    <row r="23" spans="1:59" ht="12.75" customHeight="1">
      <c r="A23" s="8"/>
      <c r="B23" s="83" t="s">
        <v>104</v>
      </c>
      <c r="C23" s="38">
        <f t="shared" si="3"/>
        <v>-1205</v>
      </c>
      <c r="D23" s="30">
        <f t="shared" si="4"/>
        <v>-0.24845360824742269</v>
      </c>
      <c r="E23" s="592"/>
      <c r="F23" s="465"/>
      <c r="G23" s="465"/>
      <c r="H23" s="465"/>
      <c r="I23" s="216">
        <v>3645</v>
      </c>
      <c r="J23" s="465">
        <v>4416</v>
      </c>
      <c r="K23" s="465">
        <v>4503</v>
      </c>
      <c r="L23" s="465">
        <v>3784</v>
      </c>
      <c r="M23" s="216">
        <v>4850</v>
      </c>
      <c r="N23" s="465">
        <v>4636</v>
      </c>
      <c r="O23" s="465">
        <v>5332</v>
      </c>
      <c r="P23" s="465">
        <v>5193</v>
      </c>
      <c r="Q23" s="216">
        <v>6806</v>
      </c>
      <c r="R23" s="465">
        <v>6617</v>
      </c>
      <c r="S23" s="465">
        <v>6104</v>
      </c>
      <c r="T23" s="465">
        <v>5375</v>
      </c>
      <c r="U23" s="216">
        <v>5783</v>
      </c>
      <c r="V23" s="465">
        <v>5147</v>
      </c>
      <c r="W23" s="465">
        <v>4751</v>
      </c>
      <c r="X23" s="465">
        <v>4541</v>
      </c>
      <c r="Y23" s="216">
        <v>4327</v>
      </c>
      <c r="Z23" s="465">
        <v>3862</v>
      </c>
      <c r="AA23" s="465">
        <v>4063</v>
      </c>
      <c r="AB23" s="465">
        <v>3347</v>
      </c>
      <c r="AC23" s="216">
        <v>3325</v>
      </c>
      <c r="AD23" s="174">
        <v>3357</v>
      </c>
      <c r="AE23" s="212">
        <v>4334</v>
      </c>
      <c r="AF23" s="212">
        <v>4309</v>
      </c>
      <c r="AG23" s="212">
        <v>4262</v>
      </c>
      <c r="AH23" s="161">
        <v>4096</v>
      </c>
      <c r="AI23" s="216">
        <v>3153</v>
      </c>
      <c r="AJ23" s="216">
        <v>3830</v>
      </c>
      <c r="AK23" s="216">
        <v>5904</v>
      </c>
      <c r="AL23" s="89"/>
      <c r="AM23" s="380">
        <f t="shared" si="5"/>
        <v>13137</v>
      </c>
      <c r="AN23" s="380">
        <f t="shared" si="6"/>
        <v>17331</v>
      </c>
      <c r="AO23" s="31">
        <f t="shared" si="7"/>
        <v>-4414</v>
      </c>
      <c r="AP23" s="30">
        <f t="shared" si="0"/>
        <v>-0.20093777029180135</v>
      </c>
      <c r="AQ23" s="83"/>
      <c r="AR23" s="201">
        <f t="shared" si="8"/>
        <v>17553</v>
      </c>
      <c r="AS23" s="201">
        <f t="shared" si="9"/>
        <v>21967</v>
      </c>
      <c r="AT23" s="201">
        <f t="shared" si="10"/>
        <v>23879</v>
      </c>
      <c r="AU23" s="201">
        <v>18766</v>
      </c>
      <c r="AV23" s="201">
        <v>14597</v>
      </c>
      <c r="AW23" s="201">
        <v>16262</v>
      </c>
      <c r="AX23" s="201">
        <v>16983</v>
      </c>
      <c r="AY23" s="43">
        <v>17399</v>
      </c>
      <c r="AZ23" s="43">
        <v>15700</v>
      </c>
      <c r="BA23" s="43">
        <v>16193</v>
      </c>
      <c r="BB23" s="148"/>
      <c r="BC23" s="148"/>
      <c r="BG23" s="3"/>
    </row>
    <row r="24" spans="1:59" ht="12.75" customHeight="1">
      <c r="A24" s="8"/>
      <c r="B24" s="83" t="s">
        <v>76</v>
      </c>
      <c r="C24" s="38">
        <f t="shared" si="3"/>
        <v>-413</v>
      </c>
      <c r="D24" s="30">
        <f t="shared" si="4"/>
        <v>-0.0974056603773585</v>
      </c>
      <c r="E24" s="592"/>
      <c r="F24" s="465"/>
      <c r="G24" s="465"/>
      <c r="H24" s="465"/>
      <c r="I24" s="216">
        <v>3827</v>
      </c>
      <c r="J24" s="465">
        <v>4013</v>
      </c>
      <c r="K24" s="465">
        <v>3786</v>
      </c>
      <c r="L24" s="465">
        <v>4094</v>
      </c>
      <c r="M24" s="216">
        <v>4240</v>
      </c>
      <c r="N24" s="465">
        <v>4490</v>
      </c>
      <c r="O24" s="465">
        <v>4349</v>
      </c>
      <c r="P24" s="465">
        <v>4395</v>
      </c>
      <c r="Q24" s="216">
        <v>4575</v>
      </c>
      <c r="R24" s="465">
        <v>5263</v>
      </c>
      <c r="S24" s="465">
        <v>5085</v>
      </c>
      <c r="T24" s="465">
        <v>4655</v>
      </c>
      <c r="U24" s="216">
        <v>4086</v>
      </c>
      <c r="V24" s="465">
        <v>4079</v>
      </c>
      <c r="W24" s="465">
        <v>4027</v>
      </c>
      <c r="X24" s="465">
        <v>3885</v>
      </c>
      <c r="Y24" s="216">
        <v>3702</v>
      </c>
      <c r="Z24" s="465">
        <v>4062</v>
      </c>
      <c r="AA24" s="465">
        <v>4010</v>
      </c>
      <c r="AB24" s="465">
        <v>3660</v>
      </c>
      <c r="AC24" s="216">
        <v>3721</v>
      </c>
      <c r="AD24" s="174">
        <v>3733</v>
      </c>
      <c r="AE24" s="212">
        <v>3630</v>
      </c>
      <c r="AF24" s="212">
        <v>3659</v>
      </c>
      <c r="AG24" s="212">
        <v>3478</v>
      </c>
      <c r="AH24" s="161">
        <v>3407</v>
      </c>
      <c r="AI24" s="216">
        <v>3507</v>
      </c>
      <c r="AJ24" s="216">
        <v>3794</v>
      </c>
      <c r="AK24" s="216">
        <v>3821</v>
      </c>
      <c r="AL24" s="89"/>
      <c r="AM24" s="380">
        <f t="shared" si="5"/>
        <v>12120</v>
      </c>
      <c r="AN24" s="380">
        <f t="shared" si="6"/>
        <v>13319</v>
      </c>
      <c r="AO24" s="31">
        <f t="shared" si="7"/>
        <v>-1676</v>
      </c>
      <c r="AP24" s="30">
        <f t="shared" si="0"/>
        <v>-0.09410971980459318</v>
      </c>
      <c r="AQ24" s="83"/>
      <c r="AR24" s="201">
        <f t="shared" si="8"/>
        <v>16133</v>
      </c>
      <c r="AS24" s="201">
        <f t="shared" si="9"/>
        <v>17809</v>
      </c>
      <c r="AT24" s="201">
        <f t="shared" si="10"/>
        <v>19089</v>
      </c>
      <c r="AU24" s="201">
        <v>15693</v>
      </c>
      <c r="AV24" s="201">
        <v>15453</v>
      </c>
      <c r="AW24" s="201">
        <v>14500</v>
      </c>
      <c r="AX24" s="201">
        <v>14529</v>
      </c>
      <c r="AY24" s="43">
        <v>12701</v>
      </c>
      <c r="AZ24" s="43">
        <v>9706</v>
      </c>
      <c r="BA24" s="43">
        <v>10444</v>
      </c>
      <c r="BB24" s="148"/>
      <c r="BC24" s="148"/>
      <c r="BG24" s="3"/>
    </row>
    <row r="25" spans="1:59" ht="12.75" customHeight="1">
      <c r="A25" s="8"/>
      <c r="B25" s="83" t="s">
        <v>77</v>
      </c>
      <c r="C25" s="38">
        <f t="shared" si="3"/>
        <v>-511</v>
      </c>
      <c r="D25" s="30">
        <f t="shared" si="4"/>
        <v>-0.12363900314541496</v>
      </c>
      <c r="E25" s="592"/>
      <c r="F25" s="465"/>
      <c r="G25" s="465"/>
      <c r="H25" s="465"/>
      <c r="I25" s="216">
        <v>3622</v>
      </c>
      <c r="J25" s="465">
        <v>4103</v>
      </c>
      <c r="K25" s="465">
        <v>4087</v>
      </c>
      <c r="L25" s="465">
        <v>3963</v>
      </c>
      <c r="M25" s="216">
        <v>4133</v>
      </c>
      <c r="N25" s="465">
        <v>4924</v>
      </c>
      <c r="O25" s="465">
        <v>3872</v>
      </c>
      <c r="P25" s="465">
        <v>3885</v>
      </c>
      <c r="Q25" s="216">
        <v>3756</v>
      </c>
      <c r="R25" s="465">
        <v>3726</v>
      </c>
      <c r="S25" s="465">
        <v>3429</v>
      </c>
      <c r="T25" s="465">
        <v>4011</v>
      </c>
      <c r="U25" s="216">
        <v>3664</v>
      </c>
      <c r="V25" s="465">
        <v>3374</v>
      </c>
      <c r="W25" s="465">
        <v>3740</v>
      </c>
      <c r="X25" s="465">
        <v>3502</v>
      </c>
      <c r="Y25" s="216">
        <v>3811</v>
      </c>
      <c r="Z25" s="465">
        <v>4293</v>
      </c>
      <c r="AA25" s="465">
        <v>4604</v>
      </c>
      <c r="AB25" s="465">
        <v>4576</v>
      </c>
      <c r="AC25" s="216">
        <v>4647</v>
      </c>
      <c r="AD25" s="174">
        <v>4496</v>
      </c>
      <c r="AE25" s="212">
        <v>4310</v>
      </c>
      <c r="AF25" s="212">
        <v>4532</v>
      </c>
      <c r="AG25" s="212">
        <v>4498</v>
      </c>
      <c r="AH25" s="161">
        <v>4418</v>
      </c>
      <c r="AI25" s="216">
        <v>4199</v>
      </c>
      <c r="AJ25" s="216">
        <v>4325</v>
      </c>
      <c r="AK25" s="216">
        <v>4019</v>
      </c>
      <c r="AL25" s="89"/>
      <c r="AM25" s="380">
        <f t="shared" si="5"/>
        <v>12183</v>
      </c>
      <c r="AN25" s="380">
        <f t="shared" si="6"/>
        <v>11513</v>
      </c>
      <c r="AO25" s="31">
        <f t="shared" si="7"/>
        <v>-151</v>
      </c>
      <c r="AP25" s="30">
        <f t="shared" si="0"/>
        <v>-0.00918659122710957</v>
      </c>
      <c r="AQ25" s="83"/>
      <c r="AR25" s="201">
        <f t="shared" si="8"/>
        <v>16286</v>
      </c>
      <c r="AS25" s="201">
        <f t="shared" si="9"/>
        <v>16437</v>
      </c>
      <c r="AT25" s="201">
        <f t="shared" si="10"/>
        <v>14830</v>
      </c>
      <c r="AU25" s="201">
        <v>14427</v>
      </c>
      <c r="AV25" s="201">
        <v>18120</v>
      </c>
      <c r="AW25" s="201">
        <v>17836</v>
      </c>
      <c r="AX25" s="201">
        <v>16961</v>
      </c>
      <c r="AY25" s="43">
        <v>14662</v>
      </c>
      <c r="AZ25" s="43">
        <v>13001</v>
      </c>
      <c r="BA25" s="43">
        <v>11453</v>
      </c>
      <c r="BB25" s="148"/>
      <c r="BC25" s="148"/>
      <c r="BG25" s="3"/>
    </row>
    <row r="26" spans="1:59" ht="12.75" customHeight="1">
      <c r="A26" s="8"/>
      <c r="B26" s="83" t="s">
        <v>72</v>
      </c>
      <c r="C26" s="38">
        <f t="shared" si="3"/>
        <v>-777</v>
      </c>
      <c r="D26" s="30">
        <f t="shared" si="4"/>
        <v>-0.24705882352941178</v>
      </c>
      <c r="E26" s="592"/>
      <c r="F26" s="465"/>
      <c r="G26" s="465"/>
      <c r="H26" s="465"/>
      <c r="I26" s="216">
        <v>2368</v>
      </c>
      <c r="J26" s="465">
        <v>2231</v>
      </c>
      <c r="K26" s="465">
        <v>2706</v>
      </c>
      <c r="L26" s="465">
        <v>1856</v>
      </c>
      <c r="M26" s="216">
        <v>3145</v>
      </c>
      <c r="N26" s="465">
        <v>2822</v>
      </c>
      <c r="O26" s="465">
        <v>2286</v>
      </c>
      <c r="P26" s="465">
        <v>1893</v>
      </c>
      <c r="Q26" s="216">
        <v>2378</v>
      </c>
      <c r="R26" s="465">
        <v>2383</v>
      </c>
      <c r="S26" s="465">
        <v>2974</v>
      </c>
      <c r="T26" s="465">
        <v>1630</v>
      </c>
      <c r="U26" s="216">
        <v>540</v>
      </c>
      <c r="V26" s="465">
        <v>172</v>
      </c>
      <c r="W26" s="465">
        <v>429</v>
      </c>
      <c r="X26" s="465">
        <v>277</v>
      </c>
      <c r="Y26" s="216">
        <v>-260</v>
      </c>
      <c r="Z26" s="465">
        <v>198</v>
      </c>
      <c r="AA26" s="465">
        <v>1663</v>
      </c>
      <c r="AB26" s="465">
        <v>2707</v>
      </c>
      <c r="AC26" s="216">
        <v>3325</v>
      </c>
      <c r="AD26" s="174">
        <v>4900</v>
      </c>
      <c r="AE26" s="212">
        <v>6118</v>
      </c>
      <c r="AF26" s="212">
        <v>5934</v>
      </c>
      <c r="AG26" s="212">
        <v>5847</v>
      </c>
      <c r="AH26" s="161">
        <v>5089</v>
      </c>
      <c r="AI26" s="216">
        <v>4823</v>
      </c>
      <c r="AJ26" s="216">
        <v>5321</v>
      </c>
      <c r="AK26" s="216">
        <v>4888</v>
      </c>
      <c r="AL26" s="89"/>
      <c r="AM26" s="380">
        <f t="shared" si="5"/>
        <v>7707</v>
      </c>
      <c r="AN26" s="380">
        <f t="shared" si="6"/>
        <v>6557</v>
      </c>
      <c r="AO26" s="31">
        <f t="shared" si="7"/>
        <v>559</v>
      </c>
      <c r="AP26" s="30">
        <f t="shared" si="0"/>
        <v>0.0596012368056296</v>
      </c>
      <c r="AQ26" s="83"/>
      <c r="AR26" s="201">
        <f t="shared" si="8"/>
        <v>9938</v>
      </c>
      <c r="AS26" s="201">
        <f t="shared" si="9"/>
        <v>9379</v>
      </c>
      <c r="AT26" s="201">
        <f t="shared" si="10"/>
        <v>7527</v>
      </c>
      <c r="AU26" s="201">
        <v>618</v>
      </c>
      <c r="AV26" s="201">
        <v>7893</v>
      </c>
      <c r="AW26" s="201">
        <v>22799</v>
      </c>
      <c r="AX26" s="201">
        <v>20121</v>
      </c>
      <c r="AY26" s="43">
        <v>10820</v>
      </c>
      <c r="AZ26" s="43">
        <v>7823</v>
      </c>
      <c r="BA26" s="43">
        <v>3959</v>
      </c>
      <c r="BB26" s="148"/>
      <c r="BC26" s="148"/>
      <c r="BG26" s="3"/>
    </row>
    <row r="27" spans="1:59" ht="12.75" customHeight="1">
      <c r="A27" s="8"/>
      <c r="B27" s="83" t="s">
        <v>78</v>
      </c>
      <c r="C27" s="38">
        <f t="shared" si="3"/>
        <v>-1876</v>
      </c>
      <c r="D27" s="30">
        <f t="shared" si="4"/>
        <v>-0.2040905134899913</v>
      </c>
      <c r="E27" s="592"/>
      <c r="F27" s="465"/>
      <c r="G27" s="465"/>
      <c r="H27" s="465"/>
      <c r="I27" s="216">
        <v>7316</v>
      </c>
      <c r="J27" s="465">
        <v>8088</v>
      </c>
      <c r="K27" s="465">
        <v>8977</v>
      </c>
      <c r="L27" s="465">
        <v>9260</v>
      </c>
      <c r="M27" s="216">
        <v>9192</v>
      </c>
      <c r="N27" s="465">
        <v>12634</v>
      </c>
      <c r="O27" s="465">
        <v>10435</v>
      </c>
      <c r="P27" s="465">
        <v>11255</v>
      </c>
      <c r="Q27" s="216">
        <v>10637</v>
      </c>
      <c r="R27" s="465">
        <v>14217</v>
      </c>
      <c r="S27" s="465">
        <v>12149</v>
      </c>
      <c r="T27" s="465">
        <v>11678</v>
      </c>
      <c r="U27" s="216">
        <v>10345</v>
      </c>
      <c r="V27" s="465">
        <v>12296</v>
      </c>
      <c r="W27" s="465">
        <v>9716</v>
      </c>
      <c r="X27" s="465">
        <v>7759</v>
      </c>
      <c r="Y27" s="216">
        <v>7413</v>
      </c>
      <c r="Z27" s="465">
        <v>5941</v>
      </c>
      <c r="AA27" s="465">
        <v>13192</v>
      </c>
      <c r="AB27" s="465">
        <v>10569</v>
      </c>
      <c r="AC27" s="216">
        <v>11595</v>
      </c>
      <c r="AD27" s="174">
        <v>10702</v>
      </c>
      <c r="AE27" s="212">
        <v>12891</v>
      </c>
      <c r="AF27" s="212">
        <v>9494</v>
      </c>
      <c r="AG27" s="212">
        <v>12158</v>
      </c>
      <c r="AH27" s="161">
        <v>8743</v>
      </c>
      <c r="AI27" s="216">
        <v>9700</v>
      </c>
      <c r="AJ27" s="216">
        <v>9574</v>
      </c>
      <c r="AK27" s="216">
        <v>14575</v>
      </c>
      <c r="AL27" s="89"/>
      <c r="AM27" s="380">
        <f t="shared" si="5"/>
        <v>27429</v>
      </c>
      <c r="AN27" s="380">
        <f t="shared" si="6"/>
        <v>32327</v>
      </c>
      <c r="AO27" s="31">
        <f t="shared" si="7"/>
        <v>-9444</v>
      </c>
      <c r="AP27" s="30">
        <f t="shared" si="0"/>
        <v>-0.21004870888103022</v>
      </c>
      <c r="AQ27" s="83"/>
      <c r="AR27" s="201">
        <f t="shared" si="8"/>
        <v>35517</v>
      </c>
      <c r="AS27" s="201">
        <f t="shared" si="9"/>
        <v>44961</v>
      </c>
      <c r="AT27" s="201">
        <f t="shared" si="10"/>
        <v>48389</v>
      </c>
      <c r="AU27" s="201">
        <v>37184</v>
      </c>
      <c r="AV27" s="201">
        <v>41297</v>
      </c>
      <c r="AW27" s="201">
        <v>45245</v>
      </c>
      <c r="AX27" s="201">
        <v>42592</v>
      </c>
      <c r="AY27" s="43">
        <v>38066</v>
      </c>
      <c r="AZ27" s="43">
        <v>26292</v>
      </c>
      <c r="BA27" s="43">
        <v>21726</v>
      </c>
      <c r="BB27" s="148"/>
      <c r="BC27" s="148"/>
      <c r="BG27" s="3"/>
    </row>
    <row r="28" spans="1:59" ht="12.75" customHeight="1">
      <c r="A28" s="8"/>
      <c r="B28" s="83" t="s">
        <v>79</v>
      </c>
      <c r="C28" s="38">
        <f t="shared" si="3"/>
        <v>-124</v>
      </c>
      <c r="D28" s="30">
        <f t="shared" si="4"/>
        <v>-0.054385964912280704</v>
      </c>
      <c r="E28" s="592"/>
      <c r="F28" s="465"/>
      <c r="G28" s="465"/>
      <c r="H28" s="465"/>
      <c r="I28" s="216">
        <v>2156</v>
      </c>
      <c r="J28" s="465">
        <v>4130</v>
      </c>
      <c r="K28" s="465">
        <v>2981</v>
      </c>
      <c r="L28" s="465">
        <v>2285</v>
      </c>
      <c r="M28" s="216">
        <v>2280</v>
      </c>
      <c r="N28" s="465">
        <v>2386</v>
      </c>
      <c r="O28" s="465">
        <f>3210-837</f>
        <v>2373</v>
      </c>
      <c r="P28" s="465">
        <v>2307</v>
      </c>
      <c r="Q28" s="216">
        <v>2322</v>
      </c>
      <c r="R28" s="465">
        <v>2425</v>
      </c>
      <c r="S28" s="465">
        <v>2214</v>
      </c>
      <c r="T28" s="465">
        <v>3116</v>
      </c>
      <c r="U28" s="216">
        <v>2710</v>
      </c>
      <c r="V28" s="465">
        <v>1260</v>
      </c>
      <c r="W28" s="465">
        <v>1226</v>
      </c>
      <c r="X28" s="465">
        <v>1204</v>
      </c>
      <c r="Y28" s="216">
        <v>1192</v>
      </c>
      <c r="Z28" s="465">
        <v>1390</v>
      </c>
      <c r="AA28" s="465">
        <v>1936</v>
      </c>
      <c r="AB28" s="465">
        <v>1372</v>
      </c>
      <c r="AC28" s="216">
        <v>1355</v>
      </c>
      <c r="AD28" s="174">
        <v>1478</v>
      </c>
      <c r="AE28" s="212">
        <v>1452</v>
      </c>
      <c r="AF28" s="212">
        <v>1389</v>
      </c>
      <c r="AG28" s="212">
        <v>1286</v>
      </c>
      <c r="AH28" s="161">
        <v>1349</v>
      </c>
      <c r="AI28" s="216">
        <v>1280</v>
      </c>
      <c r="AJ28" s="216">
        <v>1418</v>
      </c>
      <c r="AK28" s="216">
        <v>1381</v>
      </c>
      <c r="AL28" s="89"/>
      <c r="AM28" s="380">
        <f t="shared" si="5"/>
        <v>7546</v>
      </c>
      <c r="AN28" s="380">
        <f t="shared" si="6"/>
        <v>7002</v>
      </c>
      <c r="AO28" s="31">
        <f t="shared" si="7"/>
        <v>2288</v>
      </c>
      <c r="AP28" s="30">
        <f t="shared" si="0"/>
        <v>0.24371538133787815</v>
      </c>
      <c r="AQ28" s="83"/>
      <c r="AR28" s="201">
        <f t="shared" si="8"/>
        <v>11676</v>
      </c>
      <c r="AS28" s="201">
        <f t="shared" si="9"/>
        <v>9388</v>
      </c>
      <c r="AT28" s="201">
        <f t="shared" si="10"/>
        <v>10465</v>
      </c>
      <c r="AU28" s="201">
        <v>4882</v>
      </c>
      <c r="AV28" s="201">
        <v>6053</v>
      </c>
      <c r="AW28" s="201">
        <v>5605</v>
      </c>
      <c r="AX28" s="201">
        <v>5428</v>
      </c>
      <c r="AY28" s="43">
        <v>3923</v>
      </c>
      <c r="AZ28" s="43">
        <v>2565</v>
      </c>
      <c r="BA28" s="43">
        <v>2849</v>
      </c>
      <c r="BB28" s="148"/>
      <c r="BC28" s="148"/>
      <c r="BG28" s="3"/>
    </row>
    <row r="29" spans="1:59" ht="12.75" customHeight="1">
      <c r="A29" s="7"/>
      <c r="B29" s="83" t="s">
        <v>80</v>
      </c>
      <c r="C29" s="38">
        <f t="shared" si="3"/>
        <v>-683</v>
      </c>
      <c r="D29" s="30">
        <f t="shared" si="4"/>
        <v>-0.2639103554868624</v>
      </c>
      <c r="E29" s="592"/>
      <c r="F29" s="465"/>
      <c r="G29" s="465"/>
      <c r="H29" s="465"/>
      <c r="I29" s="216">
        <v>1905</v>
      </c>
      <c r="J29" s="465">
        <v>1993</v>
      </c>
      <c r="K29" s="465">
        <v>2071</v>
      </c>
      <c r="L29" s="465">
        <v>3527</v>
      </c>
      <c r="M29" s="216">
        <v>2588</v>
      </c>
      <c r="N29" s="465">
        <v>2802</v>
      </c>
      <c r="O29" s="465">
        <v>2446</v>
      </c>
      <c r="P29" s="465">
        <v>2763</v>
      </c>
      <c r="Q29" s="216">
        <v>3039</v>
      </c>
      <c r="R29" s="465">
        <v>3450</v>
      </c>
      <c r="S29" s="465">
        <v>3476</v>
      </c>
      <c r="T29" s="465">
        <v>3749</v>
      </c>
      <c r="U29" s="216">
        <v>3883</v>
      </c>
      <c r="V29" s="465">
        <v>4449</v>
      </c>
      <c r="W29" s="465">
        <v>5476</v>
      </c>
      <c r="X29" s="465">
        <v>4114</v>
      </c>
      <c r="Y29" s="216">
        <v>3772</v>
      </c>
      <c r="Z29" s="465">
        <v>4637</v>
      </c>
      <c r="AA29" s="465">
        <v>4127</v>
      </c>
      <c r="AB29" s="465">
        <v>3304</v>
      </c>
      <c r="AC29" s="216">
        <v>3855</v>
      </c>
      <c r="AD29" s="174">
        <v>4230</v>
      </c>
      <c r="AE29" s="212">
        <v>3260</v>
      </c>
      <c r="AF29" s="212">
        <v>3297</v>
      </c>
      <c r="AG29" s="212">
        <v>3251</v>
      </c>
      <c r="AH29" s="161">
        <v>3137</v>
      </c>
      <c r="AI29" s="216">
        <v>3316</v>
      </c>
      <c r="AJ29" s="216">
        <v>2833</v>
      </c>
      <c r="AK29" s="216">
        <v>2819</v>
      </c>
      <c r="AL29" s="89"/>
      <c r="AM29" s="380">
        <f t="shared" si="5"/>
        <v>8186</v>
      </c>
      <c r="AN29" s="380">
        <f t="shared" si="6"/>
        <v>8248</v>
      </c>
      <c r="AO29" s="31">
        <f t="shared" si="7"/>
        <v>-871</v>
      </c>
      <c r="AP29" s="30">
        <f t="shared" si="0"/>
        <v>-0.07882352941176471</v>
      </c>
      <c r="AQ29" s="83"/>
      <c r="AR29" s="201">
        <f t="shared" si="8"/>
        <v>10179</v>
      </c>
      <c r="AS29" s="201">
        <f t="shared" si="9"/>
        <v>11050</v>
      </c>
      <c r="AT29" s="201">
        <f t="shared" si="10"/>
        <v>14558</v>
      </c>
      <c r="AU29" s="201">
        <v>17811</v>
      </c>
      <c r="AV29" s="201">
        <v>15923</v>
      </c>
      <c r="AW29" s="201">
        <v>14038</v>
      </c>
      <c r="AX29" s="201">
        <v>12105</v>
      </c>
      <c r="AY29" s="43">
        <v>9243</v>
      </c>
      <c r="AZ29" s="43">
        <v>7924</v>
      </c>
      <c r="BA29" s="43">
        <v>8240</v>
      </c>
      <c r="BB29" s="148"/>
      <c r="BC29" s="148"/>
      <c r="BG29" s="3"/>
    </row>
    <row r="30" spans="1:59" ht="12.75" customHeight="1">
      <c r="A30" s="8"/>
      <c r="B30" s="7" t="s">
        <v>193</v>
      </c>
      <c r="C30" s="38">
        <f t="shared" si="3"/>
        <v>0</v>
      </c>
      <c r="D30" s="590">
        <v>0</v>
      </c>
      <c r="E30" s="592"/>
      <c r="F30" s="213"/>
      <c r="G30" s="213"/>
      <c r="H30" s="213"/>
      <c r="I30" s="168">
        <v>0</v>
      </c>
      <c r="J30" s="213">
        <v>0</v>
      </c>
      <c r="K30" s="213">
        <v>0</v>
      </c>
      <c r="L30" s="213">
        <v>15042</v>
      </c>
      <c r="M30" s="168">
        <v>0</v>
      </c>
      <c r="N30" s="213">
        <v>8153</v>
      </c>
      <c r="O30" s="213">
        <f>4300+275+899</f>
        <v>5474</v>
      </c>
      <c r="P30" s="213">
        <v>0</v>
      </c>
      <c r="Q30" s="168">
        <v>0</v>
      </c>
      <c r="R30" s="213">
        <v>0</v>
      </c>
      <c r="S30" s="213">
        <v>0</v>
      </c>
      <c r="T30" s="213">
        <v>0</v>
      </c>
      <c r="U30" s="168">
        <v>0</v>
      </c>
      <c r="V30" s="213">
        <v>0</v>
      </c>
      <c r="W30" s="213">
        <v>0</v>
      </c>
      <c r="X30" s="213">
        <v>0</v>
      </c>
      <c r="Y30" s="168">
        <v>0</v>
      </c>
      <c r="Z30" s="465">
        <v>142</v>
      </c>
      <c r="AA30" s="465">
        <v>2623</v>
      </c>
      <c r="AB30" s="213">
        <v>0</v>
      </c>
      <c r="AC30" s="168">
        <v>0</v>
      </c>
      <c r="AD30" s="215">
        <v>4000</v>
      </c>
      <c r="AE30" s="214">
        <v>0</v>
      </c>
      <c r="AF30" s="214">
        <v>0</v>
      </c>
      <c r="AG30" s="214">
        <v>0</v>
      </c>
      <c r="AH30" s="204">
        <v>0</v>
      </c>
      <c r="AI30" s="217">
        <v>0</v>
      </c>
      <c r="AJ30" s="216"/>
      <c r="AK30" s="216"/>
      <c r="AL30" s="89"/>
      <c r="AM30" s="213">
        <f t="shared" si="5"/>
        <v>15042</v>
      </c>
      <c r="AN30" s="31">
        <f t="shared" si="6"/>
        <v>5474</v>
      </c>
      <c r="AO30" s="213">
        <f t="shared" si="7"/>
        <v>1415</v>
      </c>
      <c r="AP30" s="30">
        <f t="shared" si="0"/>
        <v>0.10383796873853379</v>
      </c>
      <c r="AQ30" s="89"/>
      <c r="AR30" s="201">
        <f t="shared" si="8"/>
        <v>15042</v>
      </c>
      <c r="AS30" s="217">
        <f>SUM(N30:Q30)</f>
        <v>13627</v>
      </c>
      <c r="AT30" s="217">
        <v>0</v>
      </c>
      <c r="AU30" s="217">
        <v>0</v>
      </c>
      <c r="AV30" s="204">
        <v>2765</v>
      </c>
      <c r="AW30" s="204">
        <v>4000</v>
      </c>
      <c r="AX30" s="204">
        <v>0</v>
      </c>
      <c r="AY30" s="204">
        <v>0</v>
      </c>
      <c r="AZ30" s="204">
        <v>0</v>
      </c>
      <c r="BA30" s="204">
        <v>0</v>
      </c>
      <c r="BB30" s="148"/>
      <c r="BC30" s="148"/>
      <c r="BG30" s="3"/>
    </row>
    <row r="31" spans="1:59" ht="12.75">
      <c r="A31" s="7"/>
      <c r="B31" s="7" t="s">
        <v>218</v>
      </c>
      <c r="C31" s="38">
        <f t="shared" si="3"/>
        <v>0</v>
      </c>
      <c r="D31" s="590">
        <v>0</v>
      </c>
      <c r="E31" s="592"/>
      <c r="F31" s="213"/>
      <c r="G31" s="213"/>
      <c r="H31" s="213"/>
      <c r="I31" s="168">
        <v>0</v>
      </c>
      <c r="J31" s="213">
        <v>0</v>
      </c>
      <c r="K31" s="213">
        <v>0</v>
      </c>
      <c r="L31" s="213">
        <v>388</v>
      </c>
      <c r="M31" s="168">
        <v>0</v>
      </c>
      <c r="N31" s="213">
        <v>0</v>
      </c>
      <c r="O31" s="213">
        <v>2700</v>
      </c>
      <c r="P31" s="213">
        <v>2956</v>
      </c>
      <c r="Q31" s="168">
        <v>0</v>
      </c>
      <c r="R31" s="213">
        <v>0</v>
      </c>
      <c r="S31" s="213">
        <v>1750</v>
      </c>
      <c r="T31" s="213">
        <v>0</v>
      </c>
      <c r="U31" s="168">
        <v>10990</v>
      </c>
      <c r="V31" s="213">
        <v>5000</v>
      </c>
      <c r="W31" s="213">
        <v>0</v>
      </c>
      <c r="X31" s="213">
        <v>0</v>
      </c>
      <c r="Y31" s="168">
        <v>0</v>
      </c>
      <c r="Z31" s="213">
        <v>0</v>
      </c>
      <c r="AA31" s="213">
        <v>0</v>
      </c>
      <c r="AB31" s="213">
        <v>0</v>
      </c>
      <c r="AC31" s="168">
        <v>0</v>
      </c>
      <c r="AD31" s="175">
        <v>0</v>
      </c>
      <c r="AE31" s="214"/>
      <c r="AF31" s="214"/>
      <c r="AG31" s="214"/>
      <c r="AH31" s="204"/>
      <c r="AI31" s="217"/>
      <c r="AJ31" s="217"/>
      <c r="AK31" s="217"/>
      <c r="AL31" s="89"/>
      <c r="AM31" s="213">
        <f t="shared" si="5"/>
        <v>388</v>
      </c>
      <c r="AN31" s="380">
        <f t="shared" si="6"/>
        <v>5656</v>
      </c>
      <c r="AO31" s="213">
        <f t="shared" si="7"/>
        <v>-5268</v>
      </c>
      <c r="AP31" s="30">
        <f t="shared" si="0"/>
        <v>-0.9314002828854314</v>
      </c>
      <c r="AQ31" s="83"/>
      <c r="AR31" s="201">
        <f t="shared" si="8"/>
        <v>388</v>
      </c>
      <c r="AS31" s="201">
        <f t="shared" si="9"/>
        <v>5656</v>
      </c>
      <c r="AT31" s="201">
        <f t="shared" si="10"/>
        <v>12740</v>
      </c>
      <c r="AU31" s="204">
        <v>5000</v>
      </c>
      <c r="AV31" s="204">
        <v>0</v>
      </c>
      <c r="AW31" s="204">
        <v>0</v>
      </c>
      <c r="AX31" s="204">
        <v>0</v>
      </c>
      <c r="AY31" s="204">
        <v>0</v>
      </c>
      <c r="AZ31" s="204"/>
      <c r="BA31" s="204"/>
      <c r="BB31" s="148"/>
      <c r="BC31" s="148"/>
      <c r="BG31" s="3"/>
    </row>
    <row r="32" spans="1:59" ht="12.75">
      <c r="A32" s="7"/>
      <c r="B32" s="83" t="s">
        <v>81</v>
      </c>
      <c r="C32" s="38">
        <f t="shared" si="3"/>
        <v>0</v>
      </c>
      <c r="D32" s="590">
        <v>0</v>
      </c>
      <c r="E32" s="592"/>
      <c r="F32" s="213"/>
      <c r="G32" s="213"/>
      <c r="H32" s="213"/>
      <c r="I32" s="168">
        <v>0</v>
      </c>
      <c r="J32" s="213">
        <v>0</v>
      </c>
      <c r="K32" s="213">
        <v>0</v>
      </c>
      <c r="L32" s="213">
        <v>0</v>
      </c>
      <c r="M32" s="168">
        <v>0</v>
      </c>
      <c r="N32" s="213">
        <v>0</v>
      </c>
      <c r="O32" s="213">
        <v>0</v>
      </c>
      <c r="P32" s="213">
        <v>0</v>
      </c>
      <c r="Q32" s="168">
        <v>0</v>
      </c>
      <c r="R32" s="213">
        <v>0</v>
      </c>
      <c r="S32" s="213">
        <v>0</v>
      </c>
      <c r="T32" s="213">
        <v>0</v>
      </c>
      <c r="U32" s="168">
        <v>0</v>
      </c>
      <c r="V32" s="213">
        <v>0</v>
      </c>
      <c r="W32" s="213">
        <v>0</v>
      </c>
      <c r="X32" s="213">
        <v>0</v>
      </c>
      <c r="Y32" s="168">
        <v>0</v>
      </c>
      <c r="Z32" s="213">
        <v>0</v>
      </c>
      <c r="AA32" s="213">
        <v>6700</v>
      </c>
      <c r="AB32" s="213">
        <v>0</v>
      </c>
      <c r="AC32" s="168">
        <v>0</v>
      </c>
      <c r="AD32" s="174">
        <v>4172</v>
      </c>
      <c r="AE32" s="212">
        <v>4226</v>
      </c>
      <c r="AF32" s="212">
        <v>4399</v>
      </c>
      <c r="AG32" s="213">
        <v>0</v>
      </c>
      <c r="AH32" s="177">
        <v>0</v>
      </c>
      <c r="AI32" s="168">
        <v>0</v>
      </c>
      <c r="AJ32" s="168">
        <v>0</v>
      </c>
      <c r="AK32" s="168">
        <v>0</v>
      </c>
      <c r="AL32" s="89"/>
      <c r="AM32" s="213">
        <f t="shared" si="5"/>
        <v>0</v>
      </c>
      <c r="AN32" s="213">
        <f t="shared" si="6"/>
        <v>0</v>
      </c>
      <c r="AO32" s="213">
        <v>0</v>
      </c>
      <c r="AP32" s="30">
        <v>0</v>
      </c>
      <c r="AQ32" s="83"/>
      <c r="AR32" s="177">
        <f t="shared" si="8"/>
        <v>0</v>
      </c>
      <c r="AS32" s="177">
        <f t="shared" si="9"/>
        <v>0</v>
      </c>
      <c r="AT32" s="177">
        <v>0</v>
      </c>
      <c r="AU32" s="177">
        <v>0</v>
      </c>
      <c r="AV32" s="177">
        <v>6700</v>
      </c>
      <c r="AW32" s="201">
        <v>12797</v>
      </c>
      <c r="AX32" s="204">
        <v>0</v>
      </c>
      <c r="AY32" s="43">
        <v>0</v>
      </c>
      <c r="AZ32" s="43">
        <v>0</v>
      </c>
      <c r="BA32" s="43">
        <v>0</v>
      </c>
      <c r="BB32" s="148"/>
      <c r="BC32" s="148"/>
      <c r="BG32" s="3"/>
    </row>
    <row r="33" spans="1:59" ht="12.75" customHeight="1">
      <c r="A33" s="7"/>
      <c r="B33" s="144" t="s">
        <v>192</v>
      </c>
      <c r="C33" s="38">
        <f t="shared" si="3"/>
        <v>0</v>
      </c>
      <c r="D33" s="590">
        <v>0</v>
      </c>
      <c r="E33" s="592"/>
      <c r="F33" s="213"/>
      <c r="G33" s="213"/>
      <c r="H33" s="213"/>
      <c r="I33" s="168">
        <v>0</v>
      </c>
      <c r="J33" s="213">
        <v>0</v>
      </c>
      <c r="K33" s="213">
        <v>0</v>
      </c>
      <c r="L33" s="213">
        <v>0</v>
      </c>
      <c r="M33" s="168">
        <v>0</v>
      </c>
      <c r="N33" s="213">
        <v>0</v>
      </c>
      <c r="O33" s="213">
        <v>0</v>
      </c>
      <c r="P33" s="213">
        <v>0</v>
      </c>
      <c r="Q33" s="168">
        <v>0</v>
      </c>
      <c r="R33" s="213">
        <v>0</v>
      </c>
      <c r="S33" s="213">
        <v>0</v>
      </c>
      <c r="T33" s="213">
        <v>0</v>
      </c>
      <c r="U33" s="168">
        <v>0</v>
      </c>
      <c r="V33" s="213">
        <v>0</v>
      </c>
      <c r="W33" s="213">
        <v>0</v>
      </c>
      <c r="X33" s="213">
        <v>0</v>
      </c>
      <c r="Y33" s="168">
        <v>0</v>
      </c>
      <c r="Z33" s="213">
        <v>0</v>
      </c>
      <c r="AA33" s="213">
        <v>5347</v>
      </c>
      <c r="AB33" s="213">
        <v>0</v>
      </c>
      <c r="AC33" s="168">
        <v>0</v>
      </c>
      <c r="AD33" s="174">
        <v>54200</v>
      </c>
      <c r="AE33" s="214">
        <v>0</v>
      </c>
      <c r="AF33" s="214">
        <v>0</v>
      </c>
      <c r="AG33" s="214">
        <v>0</v>
      </c>
      <c r="AH33" s="204">
        <v>0</v>
      </c>
      <c r="AI33" s="217">
        <v>0</v>
      </c>
      <c r="AJ33" s="217">
        <v>0</v>
      </c>
      <c r="AK33" s="217">
        <v>0</v>
      </c>
      <c r="AL33" s="89"/>
      <c r="AM33" s="213">
        <f t="shared" si="5"/>
        <v>0</v>
      </c>
      <c r="AN33" s="213">
        <f t="shared" si="6"/>
        <v>0</v>
      </c>
      <c r="AO33" s="213">
        <v>0</v>
      </c>
      <c r="AP33" s="30">
        <v>0</v>
      </c>
      <c r="AQ33" s="83"/>
      <c r="AR33" s="204">
        <f t="shared" si="8"/>
        <v>0</v>
      </c>
      <c r="AS33" s="204">
        <f t="shared" si="9"/>
        <v>0</v>
      </c>
      <c r="AT33" s="204">
        <v>0</v>
      </c>
      <c r="AU33" s="204">
        <v>0</v>
      </c>
      <c r="AV33" s="204">
        <v>5347</v>
      </c>
      <c r="AW33" s="201">
        <v>54200</v>
      </c>
      <c r="AX33" s="204">
        <v>0</v>
      </c>
      <c r="AY33" s="43">
        <v>0</v>
      </c>
      <c r="AZ33" s="43">
        <v>0</v>
      </c>
      <c r="BA33" s="43">
        <v>0</v>
      </c>
      <c r="BB33" s="148"/>
      <c r="BC33" s="148"/>
      <c r="BG33" s="3"/>
    </row>
    <row r="34" spans="1:59" ht="12.75" customHeight="1">
      <c r="A34" s="7"/>
      <c r="B34" s="7" t="s">
        <v>191</v>
      </c>
      <c r="C34" s="38">
        <f t="shared" si="3"/>
        <v>0</v>
      </c>
      <c r="D34" s="590">
        <v>0</v>
      </c>
      <c r="E34" s="592"/>
      <c r="F34" s="213"/>
      <c r="G34" s="213"/>
      <c r="H34" s="213"/>
      <c r="I34" s="168">
        <v>0</v>
      </c>
      <c r="J34" s="213">
        <v>0</v>
      </c>
      <c r="K34" s="213">
        <v>0</v>
      </c>
      <c r="L34" s="213">
        <v>0</v>
      </c>
      <c r="M34" s="168">
        <v>0</v>
      </c>
      <c r="N34" s="213">
        <v>0</v>
      </c>
      <c r="O34" s="213">
        <v>0</v>
      </c>
      <c r="P34" s="213">
        <v>0</v>
      </c>
      <c r="Q34" s="168">
        <v>0</v>
      </c>
      <c r="R34" s="213">
        <v>0</v>
      </c>
      <c r="S34" s="213">
        <v>0</v>
      </c>
      <c r="T34" s="213">
        <v>0</v>
      </c>
      <c r="U34" s="168">
        <v>0</v>
      </c>
      <c r="V34" s="213">
        <v>0</v>
      </c>
      <c r="W34" s="213">
        <v>0</v>
      </c>
      <c r="X34" s="213">
        <v>0</v>
      </c>
      <c r="Y34" s="168">
        <v>0</v>
      </c>
      <c r="Z34" s="213">
        <v>0</v>
      </c>
      <c r="AA34" s="213">
        <v>3958</v>
      </c>
      <c r="AB34" s="213">
        <v>0</v>
      </c>
      <c r="AC34" s="168">
        <v>0</v>
      </c>
      <c r="AD34" s="175">
        <v>0</v>
      </c>
      <c r="AE34" s="214">
        <v>0</v>
      </c>
      <c r="AF34" s="214">
        <v>0</v>
      </c>
      <c r="AG34" s="214">
        <v>0</v>
      </c>
      <c r="AH34" s="204">
        <v>0</v>
      </c>
      <c r="AI34" s="217">
        <v>0</v>
      </c>
      <c r="AJ34" s="217"/>
      <c r="AK34" s="217"/>
      <c r="AL34" s="89"/>
      <c r="AM34" s="213">
        <f t="shared" si="5"/>
        <v>0</v>
      </c>
      <c r="AN34" s="213">
        <f t="shared" si="6"/>
        <v>0</v>
      </c>
      <c r="AO34" s="213">
        <v>0</v>
      </c>
      <c r="AP34" s="30">
        <v>0</v>
      </c>
      <c r="AQ34" s="83"/>
      <c r="AR34" s="204">
        <f t="shared" si="8"/>
        <v>0</v>
      </c>
      <c r="AS34" s="204">
        <f t="shared" si="9"/>
        <v>0</v>
      </c>
      <c r="AT34" s="204">
        <v>0</v>
      </c>
      <c r="AU34" s="204">
        <v>0</v>
      </c>
      <c r="AV34" s="204">
        <v>3958</v>
      </c>
      <c r="AW34" s="204">
        <v>0</v>
      </c>
      <c r="AX34" s="204">
        <v>0</v>
      </c>
      <c r="AY34" s="204">
        <v>0</v>
      </c>
      <c r="AZ34" s="204">
        <v>0</v>
      </c>
      <c r="BA34" s="204">
        <v>0</v>
      </c>
      <c r="BB34" s="148"/>
      <c r="BC34" s="148"/>
      <c r="BG34" s="3"/>
    </row>
    <row r="35" spans="1:59" ht="12.75" customHeight="1">
      <c r="A35" s="8"/>
      <c r="B35" s="7"/>
      <c r="C35" s="169">
        <f t="shared" si="3"/>
        <v>-14408</v>
      </c>
      <c r="D35" s="170">
        <f>IF(OR((C35/M35)&gt;3,(C35/M35)&lt;-3),"n.m.",(C35/M35))</f>
        <v>-0.18081421615380755</v>
      </c>
      <c r="E35" s="592"/>
      <c r="F35" s="220">
        <f aca="true" t="shared" si="11" ref="F35:M35">SUM(F20:F34)</f>
        <v>0</v>
      </c>
      <c r="G35" s="220">
        <f t="shared" si="11"/>
        <v>0</v>
      </c>
      <c r="H35" s="220">
        <f t="shared" si="11"/>
        <v>0</v>
      </c>
      <c r="I35" s="221">
        <f t="shared" si="11"/>
        <v>65276</v>
      </c>
      <c r="J35" s="220">
        <f t="shared" si="11"/>
        <v>89393</v>
      </c>
      <c r="K35" s="220">
        <f t="shared" si="11"/>
        <v>97502</v>
      </c>
      <c r="L35" s="220">
        <f t="shared" si="11"/>
        <v>95973</v>
      </c>
      <c r="M35" s="221">
        <f t="shared" si="11"/>
        <v>79684</v>
      </c>
      <c r="N35" s="220">
        <f aca="true" t="shared" si="12" ref="N35:U35">SUM(N20:N34)</f>
        <v>121370</v>
      </c>
      <c r="O35" s="220">
        <f t="shared" si="12"/>
        <v>102275</v>
      </c>
      <c r="P35" s="220">
        <f t="shared" si="12"/>
        <v>91033</v>
      </c>
      <c r="Q35" s="221">
        <f t="shared" si="12"/>
        <v>104014</v>
      </c>
      <c r="R35" s="220">
        <f t="shared" si="12"/>
        <v>139232</v>
      </c>
      <c r="S35" s="220">
        <f t="shared" si="12"/>
        <v>144631</v>
      </c>
      <c r="T35" s="220">
        <f t="shared" si="12"/>
        <v>97318</v>
      </c>
      <c r="U35" s="221">
        <f t="shared" si="12"/>
        <v>105470</v>
      </c>
      <c r="V35" s="220">
        <v>97777</v>
      </c>
      <c r="W35" s="220">
        <v>106520</v>
      </c>
      <c r="X35" s="220">
        <v>75672</v>
      </c>
      <c r="Y35" s="221">
        <v>78767</v>
      </c>
      <c r="Z35" s="220">
        <v>66023</v>
      </c>
      <c r="AA35" s="220">
        <v>90683</v>
      </c>
      <c r="AB35" s="220">
        <v>76728</v>
      </c>
      <c r="AC35" s="221">
        <v>96729</v>
      </c>
      <c r="AD35" s="178">
        <v>149949</v>
      </c>
      <c r="AE35" s="220">
        <v>109133</v>
      </c>
      <c r="AF35" s="220">
        <v>99825</v>
      </c>
      <c r="AG35" s="220">
        <v>125313</v>
      </c>
      <c r="AH35" s="171">
        <v>118739</v>
      </c>
      <c r="AI35" s="221">
        <v>106957</v>
      </c>
      <c r="AJ35" s="221">
        <v>92702</v>
      </c>
      <c r="AK35" s="221">
        <v>112876</v>
      </c>
      <c r="AL35" s="89"/>
      <c r="AM35" s="220">
        <f>SUM(AM20:AM34)</f>
        <v>273159</v>
      </c>
      <c r="AN35" s="220">
        <f>SUM(AN20:AN34)</f>
        <v>297322</v>
      </c>
      <c r="AO35" s="389">
        <f>AR35-AS35</f>
        <v>-56140</v>
      </c>
      <c r="AP35" s="541">
        <f>IF(OR((AO35/AS35)&gt;3,(AO35/AS35)&lt;-3),"n.m.",(AO35/AS35))</f>
        <v>-0.13408424331011817</v>
      </c>
      <c r="AQ35" s="89"/>
      <c r="AR35" s="221">
        <f>SUM(AR20:AR34)</f>
        <v>362552</v>
      </c>
      <c r="AS35" s="221">
        <f>SUM(AS20:AS34)</f>
        <v>418692</v>
      </c>
      <c r="AT35" s="221">
        <f>SUM(AT20:AT34)</f>
        <v>486651</v>
      </c>
      <c r="AU35" s="249">
        <v>358736</v>
      </c>
      <c r="AV35" s="202">
        <v>330163</v>
      </c>
      <c r="AW35" s="202">
        <v>484220</v>
      </c>
      <c r="AX35" s="202">
        <v>431274</v>
      </c>
      <c r="AY35" s="355">
        <v>363542</v>
      </c>
      <c r="AZ35" s="355">
        <v>274358</v>
      </c>
      <c r="BA35" s="355">
        <v>271025</v>
      </c>
      <c r="BB35" s="148"/>
      <c r="BC35" s="148"/>
      <c r="BG35" s="3"/>
    </row>
    <row r="36" spans="1:59" ht="12.75" customHeight="1" thickBot="1">
      <c r="A36" s="1443" t="s">
        <v>445</v>
      </c>
      <c r="B36" s="1444"/>
      <c r="C36" s="472" t="e">
        <f t="shared" si="3"/>
        <v>#REF!</v>
      </c>
      <c r="D36" s="182" t="e">
        <f>IF(OR((C36/M36)&gt;3,(C36/M36)&lt;-3),"n.m.",(C36/M36))</f>
        <v>#REF!</v>
      </c>
      <c r="E36" s="592"/>
      <c r="F36" s="222" t="e">
        <f aca="true" t="shared" si="13" ref="F36:L36">+F16-F35</f>
        <v>#REF!</v>
      </c>
      <c r="G36" s="222" t="e">
        <f t="shared" si="13"/>
        <v>#REF!</v>
      </c>
      <c r="H36" s="222" t="e">
        <f t="shared" si="13"/>
        <v>#REF!</v>
      </c>
      <c r="I36" s="223" t="e">
        <f t="shared" si="13"/>
        <v>#REF!</v>
      </c>
      <c r="J36" s="222" t="e">
        <f t="shared" si="13"/>
        <v>#REF!</v>
      </c>
      <c r="K36" s="222" t="e">
        <f t="shared" si="13"/>
        <v>#REF!</v>
      </c>
      <c r="L36" s="222" t="e">
        <f t="shared" si="13"/>
        <v>#REF!</v>
      </c>
      <c r="M36" s="223" t="e">
        <f aca="true" t="shared" si="14" ref="M36:U36">M16-M35</f>
        <v>#REF!</v>
      </c>
      <c r="N36" s="222" t="e">
        <f t="shared" si="14"/>
        <v>#REF!</v>
      </c>
      <c r="O36" s="222" t="e">
        <f t="shared" si="14"/>
        <v>#REF!</v>
      </c>
      <c r="P36" s="222" t="e">
        <f t="shared" si="14"/>
        <v>#REF!</v>
      </c>
      <c r="Q36" s="223" t="e">
        <f t="shared" si="14"/>
        <v>#REF!</v>
      </c>
      <c r="R36" s="222" t="e">
        <f t="shared" si="14"/>
        <v>#REF!</v>
      </c>
      <c r="S36" s="222" t="e">
        <f t="shared" si="14"/>
        <v>#REF!</v>
      </c>
      <c r="T36" s="222" t="e">
        <f t="shared" si="14"/>
        <v>#REF!</v>
      </c>
      <c r="U36" s="223">
        <f t="shared" si="14"/>
        <v>3448</v>
      </c>
      <c r="V36" s="222">
        <v>245</v>
      </c>
      <c r="W36" s="222">
        <v>17106</v>
      </c>
      <c r="X36" s="222">
        <v>3518</v>
      </c>
      <c r="Y36" s="223">
        <v>9167</v>
      </c>
      <c r="Z36" s="222">
        <v>6761</v>
      </c>
      <c r="AA36" s="222">
        <v>-32776</v>
      </c>
      <c r="AB36" s="222">
        <v>4047</v>
      </c>
      <c r="AC36" s="223">
        <v>12169</v>
      </c>
      <c r="AD36" s="223">
        <v>-45512</v>
      </c>
      <c r="AE36" s="394"/>
      <c r="AF36" s="394"/>
      <c r="AG36" s="220"/>
      <c r="AH36" s="220"/>
      <c r="AI36" s="220"/>
      <c r="AJ36" s="220"/>
      <c r="AK36" s="220"/>
      <c r="AL36" s="89"/>
      <c r="AM36" s="222" t="e">
        <f>AM16-AM35</f>
        <v>#REF!</v>
      </c>
      <c r="AN36" s="222" t="e">
        <f>AN16-AN35</f>
        <v>#REF!</v>
      </c>
      <c r="AO36" s="548" t="e">
        <f>AR36-AS36</f>
        <v>#REF!</v>
      </c>
      <c r="AP36" s="182" t="e">
        <f>IF(OR((AO36/AS36)&gt;3,(AO36/AS36)&lt;-3),"n.m.",(AO36/AS36))</f>
        <v>#REF!</v>
      </c>
      <c r="AQ36" s="89"/>
      <c r="AR36" s="223" t="e">
        <f>AR16-AR35</f>
        <v>#REF!</v>
      </c>
      <c r="AS36" s="223" t="e">
        <f>AS16-AS35</f>
        <v>#REF!</v>
      </c>
      <c r="AT36" s="223">
        <f>AT16-AT35</f>
        <v>111905</v>
      </c>
      <c r="AU36" s="209">
        <v>30036</v>
      </c>
      <c r="AV36" s="209">
        <v>-9799</v>
      </c>
      <c r="AW36" s="209">
        <v>24846</v>
      </c>
      <c r="AX36" s="253">
        <v>99218</v>
      </c>
      <c r="AY36" s="356">
        <f>AY16-AY35</f>
        <v>74012</v>
      </c>
      <c r="AZ36" s="356">
        <f>AZ16-AZ35</f>
        <v>42330</v>
      </c>
      <c r="BA36" s="360"/>
      <c r="BB36" s="148"/>
      <c r="BC36" s="148"/>
      <c r="BG36" s="3"/>
    </row>
    <row r="37" spans="1:59" ht="12.75" customHeight="1" thickTop="1">
      <c r="A37" s="8"/>
      <c r="B37" s="479"/>
      <c r="C37" s="31"/>
      <c r="D37" s="30"/>
      <c r="E37" s="30"/>
      <c r="F37" s="212"/>
      <c r="G37" s="212"/>
      <c r="H37" s="212"/>
      <c r="I37" s="216"/>
      <c r="J37" s="212"/>
      <c r="K37" s="212"/>
      <c r="L37" s="212"/>
      <c r="M37" s="216"/>
      <c r="N37" s="212"/>
      <c r="O37" s="212"/>
      <c r="P37" s="212"/>
      <c r="Q37" s="216"/>
      <c r="R37" s="212"/>
      <c r="S37" s="212"/>
      <c r="T37" s="212"/>
      <c r="U37" s="216"/>
      <c r="V37" s="212"/>
      <c r="W37" s="212"/>
      <c r="X37" s="212"/>
      <c r="Y37" s="216"/>
      <c r="Z37" s="212"/>
      <c r="AA37" s="212"/>
      <c r="AB37" s="212"/>
      <c r="AC37" s="216"/>
      <c r="AD37" s="216"/>
      <c r="AE37" s="394"/>
      <c r="AF37" s="394"/>
      <c r="AG37" s="220"/>
      <c r="AH37" s="220"/>
      <c r="AI37" s="220"/>
      <c r="AJ37" s="220"/>
      <c r="AK37" s="220"/>
      <c r="AL37" s="166"/>
      <c r="AM37" s="148"/>
      <c r="AN37" s="148"/>
      <c r="AO37" s="31"/>
      <c r="AP37" s="30"/>
      <c r="AQ37" s="166"/>
      <c r="AR37" s="927"/>
      <c r="AS37" s="927"/>
      <c r="AT37" s="927"/>
      <c r="AU37" s="927"/>
      <c r="AV37" s="927"/>
      <c r="AW37" s="238"/>
      <c r="AX37" s="238"/>
      <c r="AY37" s="28"/>
      <c r="AZ37" s="28"/>
      <c r="BA37" s="157"/>
      <c r="BB37" s="148"/>
      <c r="BC37" s="148"/>
      <c r="BG37" s="3"/>
    </row>
    <row r="38" spans="1:59" ht="12.75" customHeight="1" hidden="1" outlineLevel="1">
      <c r="A38" s="8"/>
      <c r="B38" s="479" t="s">
        <v>446</v>
      </c>
      <c r="C38" s="38">
        <f>I38-M38</f>
        <v>-825</v>
      </c>
      <c r="D38" s="30" t="s">
        <v>44</v>
      </c>
      <c r="E38" s="30"/>
      <c r="F38" s="212"/>
      <c r="G38" s="212"/>
      <c r="H38" s="212"/>
      <c r="I38" s="216">
        <f>-275*3</f>
        <v>-825</v>
      </c>
      <c r="J38" s="853">
        <v>0</v>
      </c>
      <c r="K38" s="853">
        <v>0</v>
      </c>
      <c r="L38" s="853">
        <v>0</v>
      </c>
      <c r="M38" s="910">
        <v>0</v>
      </c>
      <c r="N38" s="853">
        <v>0</v>
      </c>
      <c r="O38" s="853">
        <v>0</v>
      </c>
      <c r="P38" s="853">
        <v>0</v>
      </c>
      <c r="Q38" s="910">
        <v>0</v>
      </c>
      <c r="R38" s="212"/>
      <c r="S38" s="212"/>
      <c r="T38" s="212"/>
      <c r="U38" s="216"/>
      <c r="V38" s="212"/>
      <c r="W38" s="212"/>
      <c r="X38" s="212"/>
      <c r="Y38" s="216"/>
      <c r="Z38" s="212"/>
      <c r="AA38" s="212"/>
      <c r="AB38" s="212"/>
      <c r="AC38" s="216"/>
      <c r="AD38" s="216"/>
      <c r="AE38" s="394"/>
      <c r="AF38" s="394"/>
      <c r="AG38" s="220"/>
      <c r="AH38" s="220"/>
      <c r="AI38" s="220"/>
      <c r="AJ38" s="220"/>
      <c r="AK38" s="220"/>
      <c r="AL38" s="166"/>
      <c r="AM38" s="148"/>
      <c r="AN38" s="148"/>
      <c r="AO38" s="31"/>
      <c r="AP38" s="30"/>
      <c r="AQ38" s="166"/>
      <c r="AR38" s="918">
        <v>0</v>
      </c>
      <c r="AS38" s="918">
        <v>0</v>
      </c>
      <c r="AT38" s="918">
        <v>0</v>
      </c>
      <c r="AU38" s="918">
        <v>0</v>
      </c>
      <c r="AV38" s="918">
        <v>0</v>
      </c>
      <c r="AW38" s="238"/>
      <c r="AX38" s="238"/>
      <c r="AY38" s="28"/>
      <c r="AZ38" s="28"/>
      <c r="BA38" s="157"/>
      <c r="BB38" s="148"/>
      <c r="BC38" s="148"/>
      <c r="BG38" s="3"/>
    </row>
    <row r="39" spans="1:59" ht="12.75" customHeight="1" hidden="1" outlineLevel="1">
      <c r="A39" s="8"/>
      <c r="B39" s="166" t="s">
        <v>447</v>
      </c>
      <c r="C39" s="471">
        <f>I39-M39</f>
        <v>-831</v>
      </c>
      <c r="D39" s="149" t="s">
        <v>44</v>
      </c>
      <c r="E39" s="592"/>
      <c r="F39" s="212"/>
      <c r="G39" s="212"/>
      <c r="H39" s="212"/>
      <c r="I39" s="219">
        <f>-250*3-81</f>
        <v>-831</v>
      </c>
      <c r="J39" s="948">
        <v>0</v>
      </c>
      <c r="K39" s="948">
        <v>0</v>
      </c>
      <c r="L39" s="948">
        <v>0</v>
      </c>
      <c r="M39" s="949">
        <v>0</v>
      </c>
      <c r="N39" s="948">
        <v>0</v>
      </c>
      <c r="O39" s="948">
        <v>0</v>
      </c>
      <c r="P39" s="948">
        <v>0</v>
      </c>
      <c r="Q39" s="949">
        <v>0</v>
      </c>
      <c r="R39" s="212"/>
      <c r="S39" s="212"/>
      <c r="T39" s="212"/>
      <c r="U39" s="216"/>
      <c r="V39" s="212"/>
      <c r="W39" s="212"/>
      <c r="X39" s="212"/>
      <c r="Y39" s="216"/>
      <c r="Z39" s="212"/>
      <c r="AA39" s="212"/>
      <c r="AB39" s="212"/>
      <c r="AC39" s="216"/>
      <c r="AD39" s="216"/>
      <c r="AE39" s="394"/>
      <c r="AF39" s="394"/>
      <c r="AG39" s="220"/>
      <c r="AH39" s="220"/>
      <c r="AI39" s="220"/>
      <c r="AJ39" s="220"/>
      <c r="AK39" s="220"/>
      <c r="AL39" s="166"/>
      <c r="AM39" s="148"/>
      <c r="AN39" s="148"/>
      <c r="AO39" s="31"/>
      <c r="AP39" s="30"/>
      <c r="AQ39" s="166"/>
      <c r="AR39" s="950">
        <v>0</v>
      </c>
      <c r="AS39" s="950">
        <v>0</v>
      </c>
      <c r="AT39" s="950">
        <v>0</v>
      </c>
      <c r="AU39" s="950">
        <v>0</v>
      </c>
      <c r="AV39" s="950">
        <v>0</v>
      </c>
      <c r="AW39" s="238">
        <v>9904</v>
      </c>
      <c r="AX39" s="238">
        <v>35059</v>
      </c>
      <c r="AY39" s="28">
        <v>24207</v>
      </c>
      <c r="AZ39" s="28">
        <v>12780</v>
      </c>
      <c r="BA39" s="157"/>
      <c r="BB39" s="148"/>
      <c r="BC39" s="148"/>
      <c r="BG39" s="3"/>
    </row>
    <row r="40" spans="1:59" ht="12.75" customHeight="1" collapsed="1">
      <c r="A40" s="8"/>
      <c r="B40" s="7" t="s">
        <v>451</v>
      </c>
      <c r="C40" s="242">
        <f>I40-M40</f>
        <v>-1656</v>
      </c>
      <c r="D40" s="30" t="s">
        <v>44</v>
      </c>
      <c r="E40" s="30"/>
      <c r="F40" s="212"/>
      <c r="G40" s="212"/>
      <c r="H40" s="212"/>
      <c r="I40" s="216">
        <f>+I38+I39</f>
        <v>-1656</v>
      </c>
      <c r="J40" s="853">
        <v>0</v>
      </c>
      <c r="K40" s="853">
        <v>0</v>
      </c>
      <c r="L40" s="853">
        <v>0</v>
      </c>
      <c r="M40" s="910">
        <v>0</v>
      </c>
      <c r="N40" s="853">
        <v>0</v>
      </c>
      <c r="O40" s="853">
        <v>0</v>
      </c>
      <c r="P40" s="853">
        <v>0</v>
      </c>
      <c r="Q40" s="910">
        <v>0</v>
      </c>
      <c r="R40" s="212"/>
      <c r="S40" s="212"/>
      <c r="T40" s="212"/>
      <c r="U40" s="216"/>
      <c r="V40" s="212"/>
      <c r="W40" s="212"/>
      <c r="X40" s="212"/>
      <c r="Y40" s="216"/>
      <c r="Z40" s="212"/>
      <c r="AA40" s="212"/>
      <c r="AB40" s="212"/>
      <c r="AC40" s="216"/>
      <c r="AD40" s="216"/>
      <c r="AE40" s="394"/>
      <c r="AF40" s="394"/>
      <c r="AG40" s="220"/>
      <c r="AH40" s="220"/>
      <c r="AI40" s="220"/>
      <c r="AJ40" s="220"/>
      <c r="AK40" s="220"/>
      <c r="AL40" s="166"/>
      <c r="AM40" s="148"/>
      <c r="AN40" s="148"/>
      <c r="AO40" s="31"/>
      <c r="AP40" s="30"/>
      <c r="AQ40" s="166"/>
      <c r="AR40" s="918">
        <v>0</v>
      </c>
      <c r="AS40" s="918">
        <v>0</v>
      </c>
      <c r="AT40" s="918">
        <v>0</v>
      </c>
      <c r="AU40" s="918">
        <v>0</v>
      </c>
      <c r="AV40" s="918">
        <v>0</v>
      </c>
      <c r="AW40" s="238"/>
      <c r="AX40" s="238"/>
      <c r="AY40" s="31"/>
      <c r="AZ40" s="28"/>
      <c r="BA40" s="157"/>
      <c r="BB40" s="148"/>
      <c r="BC40" s="148"/>
      <c r="BG40" s="3"/>
    </row>
    <row r="41" spans="1:59" ht="12.75" customHeight="1">
      <c r="A41" s="8"/>
      <c r="B41" s="7"/>
      <c r="C41" s="38"/>
      <c r="D41" s="30"/>
      <c r="E41" s="592"/>
      <c r="F41" s="212"/>
      <c r="G41" s="212"/>
      <c r="H41" s="212"/>
      <c r="I41" s="216"/>
      <c r="J41" s="212"/>
      <c r="K41" s="212"/>
      <c r="L41" s="212"/>
      <c r="M41" s="216"/>
      <c r="N41" s="212"/>
      <c r="O41" s="212"/>
      <c r="P41" s="212"/>
      <c r="Q41" s="216"/>
      <c r="R41" s="212"/>
      <c r="S41" s="212"/>
      <c r="T41" s="212"/>
      <c r="U41" s="216"/>
      <c r="V41" s="212"/>
      <c r="W41" s="212"/>
      <c r="X41" s="212"/>
      <c r="Y41" s="216"/>
      <c r="Z41" s="212"/>
      <c r="AA41" s="212"/>
      <c r="AB41" s="212"/>
      <c r="AC41" s="216"/>
      <c r="AD41" s="216"/>
      <c r="AE41" s="394"/>
      <c r="AF41" s="394"/>
      <c r="AG41" s="220"/>
      <c r="AH41" s="220"/>
      <c r="AI41" s="220"/>
      <c r="AJ41" s="220"/>
      <c r="AK41" s="220"/>
      <c r="AL41" s="148"/>
      <c r="AM41" s="148"/>
      <c r="AN41" s="148"/>
      <c r="AO41" s="31"/>
      <c r="AP41" s="41"/>
      <c r="AQ41" s="89"/>
      <c r="AR41" s="207"/>
      <c r="AS41" s="207"/>
      <c r="AT41" s="207"/>
      <c r="AU41" s="207"/>
      <c r="AV41" s="207"/>
      <c r="AW41" s="238"/>
      <c r="AX41" s="238"/>
      <c r="AY41" s="31"/>
      <c r="AZ41" s="43"/>
      <c r="BA41" s="360"/>
      <c r="BB41" s="148"/>
      <c r="BC41" s="148"/>
      <c r="BG41" s="3"/>
    </row>
    <row r="42" spans="1:59" s="96" customFormat="1" ht="12.75" customHeight="1" thickBot="1">
      <c r="A42" s="1443" t="s">
        <v>82</v>
      </c>
      <c r="B42" s="1444"/>
      <c r="C42" s="472" t="e">
        <f>I42-M42</f>
        <v>#REF!</v>
      </c>
      <c r="D42" s="182" t="e">
        <f>IF(OR((C42/M42)&gt;3,(C42/M42)&lt;-3),"n.m.",(C42/M42))</f>
        <v>#REF!</v>
      </c>
      <c r="E42" s="592"/>
      <c r="F42" s="222"/>
      <c r="G42" s="222"/>
      <c r="H42" s="222"/>
      <c r="I42" s="223" t="e">
        <f>+I36-I38-I39</f>
        <v>#REF!</v>
      </c>
      <c r="J42" s="222" t="e">
        <f aca="true" t="shared" si="15" ref="J42:AK42">+J36-J38-J39</f>
        <v>#REF!</v>
      </c>
      <c r="K42" s="222" t="e">
        <f t="shared" si="15"/>
        <v>#REF!</v>
      </c>
      <c r="L42" s="222" t="e">
        <f t="shared" si="15"/>
        <v>#REF!</v>
      </c>
      <c r="M42" s="223" t="e">
        <f t="shared" si="15"/>
        <v>#REF!</v>
      </c>
      <c r="N42" s="222" t="e">
        <f t="shared" si="15"/>
        <v>#REF!</v>
      </c>
      <c r="O42" s="222" t="e">
        <f t="shared" si="15"/>
        <v>#REF!</v>
      </c>
      <c r="P42" s="222" t="e">
        <f t="shared" si="15"/>
        <v>#REF!</v>
      </c>
      <c r="Q42" s="223" t="e">
        <f t="shared" si="15"/>
        <v>#REF!</v>
      </c>
      <c r="R42" s="222" t="e">
        <f t="shared" si="15"/>
        <v>#REF!</v>
      </c>
      <c r="S42" s="222" t="e">
        <f t="shared" si="15"/>
        <v>#REF!</v>
      </c>
      <c r="T42" s="222" t="e">
        <f t="shared" si="15"/>
        <v>#REF!</v>
      </c>
      <c r="U42" s="223">
        <f t="shared" si="15"/>
        <v>3448</v>
      </c>
      <c r="V42" s="222">
        <f t="shared" si="15"/>
        <v>245</v>
      </c>
      <c r="W42" s="222">
        <f t="shared" si="15"/>
        <v>17106</v>
      </c>
      <c r="X42" s="222">
        <f t="shared" si="15"/>
        <v>3518</v>
      </c>
      <c r="Y42" s="223">
        <f t="shared" si="15"/>
        <v>9167</v>
      </c>
      <c r="Z42" s="222">
        <f t="shared" si="15"/>
        <v>6761</v>
      </c>
      <c r="AA42" s="222">
        <f t="shared" si="15"/>
        <v>-32776</v>
      </c>
      <c r="AB42" s="222">
        <f t="shared" si="15"/>
        <v>4047</v>
      </c>
      <c r="AC42" s="223">
        <f t="shared" si="15"/>
        <v>12169</v>
      </c>
      <c r="AD42" s="222">
        <f t="shared" si="15"/>
        <v>-45512</v>
      </c>
      <c r="AE42" s="223">
        <f t="shared" si="15"/>
        <v>0</v>
      </c>
      <c r="AF42" s="223">
        <f t="shared" si="15"/>
        <v>0</v>
      </c>
      <c r="AG42" s="220">
        <f t="shared" si="15"/>
        <v>0</v>
      </c>
      <c r="AH42" s="220">
        <f t="shared" si="15"/>
        <v>0</v>
      </c>
      <c r="AI42" s="220">
        <f t="shared" si="15"/>
        <v>0</v>
      </c>
      <c r="AJ42" s="220">
        <f t="shared" si="15"/>
        <v>0</v>
      </c>
      <c r="AK42" s="220">
        <f t="shared" si="15"/>
        <v>0</v>
      </c>
      <c r="AL42" s="148"/>
      <c r="AM42" s="148"/>
      <c r="AN42" s="148"/>
      <c r="AO42" s="548">
        <v>19045</v>
      </c>
      <c r="AP42" s="182" t="e">
        <v>#DIV/0!</v>
      </c>
      <c r="AQ42" s="89"/>
      <c r="AR42" s="209" t="e">
        <f>+AR36-AR38-AR39</f>
        <v>#REF!</v>
      </c>
      <c r="AS42" s="209" t="e">
        <f>+AS36-AS38-AS39</f>
        <v>#REF!</v>
      </c>
      <c r="AT42" s="209">
        <f>+AT36-AT38-AT39</f>
        <v>111905</v>
      </c>
      <c r="AU42" s="209">
        <f>+AU36-AU38-AU39</f>
        <v>30036</v>
      </c>
      <c r="AV42" s="209">
        <f>+AV36-AV38-AV39</f>
        <v>-9799</v>
      </c>
      <c r="AW42" s="253">
        <v>14942</v>
      </c>
      <c r="AX42" s="253">
        <v>64159</v>
      </c>
      <c r="AY42" s="548">
        <f>AY36-AY39</f>
        <v>49805</v>
      </c>
      <c r="AZ42" s="356">
        <f>AZ36-AZ39</f>
        <v>29550</v>
      </c>
      <c r="BA42" s="370">
        <v>46643</v>
      </c>
      <c r="BB42" s="148"/>
      <c r="BC42" s="422"/>
      <c r="BG42" s="210"/>
    </row>
    <row r="43" spans="1:59" ht="12.75" customHeight="1" thickTop="1">
      <c r="A43" s="144"/>
      <c r="B43" s="144"/>
      <c r="C43" s="31"/>
      <c r="D43" s="41"/>
      <c r="E43" s="41"/>
      <c r="F43" s="41"/>
      <c r="G43" s="41"/>
      <c r="H43" s="41"/>
      <c r="I43" s="148"/>
      <c r="J43" s="41"/>
      <c r="K43" s="41"/>
      <c r="L43" s="41"/>
      <c r="M43" s="148"/>
      <c r="N43" s="41"/>
      <c r="O43" s="41"/>
      <c r="P43" s="41"/>
      <c r="Q43" s="148"/>
      <c r="R43" s="41"/>
      <c r="S43" s="41"/>
      <c r="T43" s="41"/>
      <c r="U43" s="148"/>
      <c r="V43" s="41"/>
      <c r="W43" s="41"/>
      <c r="X43" s="41"/>
      <c r="Y43" s="148"/>
      <c r="Z43" s="41"/>
      <c r="AA43" s="41"/>
      <c r="AB43" s="41"/>
      <c r="AC43" s="148"/>
      <c r="AD43" s="83"/>
      <c r="AE43" s="83"/>
      <c r="AF43" s="83"/>
      <c r="AG43" s="83"/>
      <c r="AH43" s="186"/>
      <c r="AI43" s="186"/>
      <c r="AJ43" s="186"/>
      <c r="AK43" s="186"/>
      <c r="AL43" s="148"/>
      <c r="AM43" s="148"/>
      <c r="AN43" s="148"/>
      <c r="AO43" s="31"/>
      <c r="AP43" s="41"/>
      <c r="AQ43" s="148"/>
      <c r="AR43" s="148"/>
      <c r="AS43" s="148"/>
      <c r="AT43" s="148"/>
      <c r="AU43" s="148"/>
      <c r="AV43" s="148"/>
      <c r="AW43" s="31"/>
      <c r="AX43" s="31"/>
      <c r="AY43" s="31"/>
      <c r="AZ43" s="31"/>
      <c r="BA43" s="31"/>
      <c r="BB43" s="148"/>
      <c r="BC43" s="148"/>
      <c r="BG43" s="3"/>
    </row>
    <row r="44" spans="1:59" ht="12.75" customHeight="1">
      <c r="A44" s="7" t="s">
        <v>401</v>
      </c>
      <c r="B44" s="144"/>
      <c r="C44" s="162" t="e">
        <f aca="true" t="shared" si="16" ref="C44:C49">((I44-M44)*100)</f>
        <v>#REF!</v>
      </c>
      <c r="D44" s="41"/>
      <c r="E44" s="41"/>
      <c r="F44" s="41" t="e">
        <f aca="true" t="shared" si="17" ref="F44:I45">+F18/F$16</f>
        <v>#REF!</v>
      </c>
      <c r="G44" s="41" t="e">
        <f t="shared" si="17"/>
        <v>#REF!</v>
      </c>
      <c r="H44" s="41" t="e">
        <f t="shared" si="17"/>
        <v>#REF!</v>
      </c>
      <c r="I44" s="41" t="e">
        <f t="shared" si="17"/>
        <v>#REF!</v>
      </c>
      <c r="J44" s="41" t="e">
        <f aca="true" t="shared" si="18" ref="J44:L45">+J18/J$16</f>
        <v>#REF!</v>
      </c>
      <c r="K44" s="41" t="e">
        <f t="shared" si="18"/>
        <v>#REF!</v>
      </c>
      <c r="L44" s="41" t="e">
        <f t="shared" si="18"/>
        <v>#REF!</v>
      </c>
      <c r="M44" s="41" t="e">
        <f aca="true" t="shared" si="19" ref="M44:T44">+M18/M$16</f>
        <v>#REF!</v>
      </c>
      <c r="N44" s="41" t="e">
        <f t="shared" si="19"/>
        <v>#REF!</v>
      </c>
      <c r="O44" s="41" t="e">
        <f t="shared" si="19"/>
        <v>#REF!</v>
      </c>
      <c r="P44" s="41" t="e">
        <f t="shared" si="19"/>
        <v>#REF!</v>
      </c>
      <c r="Q44" s="41" t="e">
        <f t="shared" si="19"/>
        <v>#REF!</v>
      </c>
      <c r="R44" s="41" t="e">
        <f t="shared" si="19"/>
        <v>#REF!</v>
      </c>
      <c r="S44" s="41" t="e">
        <f t="shared" si="19"/>
        <v>#REF!</v>
      </c>
      <c r="T44" s="41" t="e">
        <f t="shared" si="19"/>
        <v>#REF!</v>
      </c>
      <c r="U44" s="148"/>
      <c r="V44" s="41"/>
      <c r="W44" s="41"/>
      <c r="X44" s="41"/>
      <c r="Y44" s="148"/>
      <c r="Z44" s="41"/>
      <c r="AA44" s="41"/>
      <c r="AB44" s="41"/>
      <c r="AC44" s="148"/>
      <c r="AD44" s="83"/>
      <c r="AE44" s="83"/>
      <c r="AF44" s="83"/>
      <c r="AG44" s="83"/>
      <c r="AH44" s="186"/>
      <c r="AI44" s="186"/>
      <c r="AJ44" s="186"/>
      <c r="AK44" s="186"/>
      <c r="AL44" s="148"/>
      <c r="AM44" s="41" t="e">
        <f>+AM18/AM$16</f>
        <v>#REF!</v>
      </c>
      <c r="AN44" s="41" t="e">
        <f>+AN18/AN$16</f>
        <v>#REF!</v>
      </c>
      <c r="AO44" s="162" t="e">
        <f aca="true" t="shared" si="20" ref="AO44:AO50">(AR44-AS44)*100</f>
        <v>#REF!</v>
      </c>
      <c r="AP44" s="41"/>
      <c r="AQ44" s="148"/>
      <c r="AR44" s="41" t="e">
        <f aca="true" t="shared" si="21" ref="AR44:AW45">+AR18/AR$16</f>
        <v>#REF!</v>
      </c>
      <c r="AS44" s="41" t="e">
        <f t="shared" si="21"/>
        <v>#REF!</v>
      </c>
      <c r="AT44" s="41">
        <f t="shared" si="21"/>
        <v>0.4642489591617159</v>
      </c>
      <c r="AU44" s="41">
        <f t="shared" si="21"/>
        <v>0.46825388659677136</v>
      </c>
      <c r="AV44" s="41">
        <f t="shared" si="21"/>
        <v>0.44054887565394363</v>
      </c>
      <c r="AW44" s="41">
        <f t="shared" si="21"/>
        <v>0.4444296024484055</v>
      </c>
      <c r="AX44" s="31"/>
      <c r="AY44" s="31"/>
      <c r="AZ44" s="31"/>
      <c r="BA44" s="31"/>
      <c r="BB44" s="148"/>
      <c r="BC44" s="148"/>
      <c r="BG44" s="3"/>
    </row>
    <row r="45" spans="1:59" ht="12.75" customHeight="1">
      <c r="A45" s="7" t="s">
        <v>402</v>
      </c>
      <c r="B45" s="144"/>
      <c r="C45" s="162" t="e">
        <f t="shared" si="16"/>
        <v>#REF!</v>
      </c>
      <c r="D45" s="41"/>
      <c r="E45" s="41"/>
      <c r="F45" s="41" t="e">
        <f t="shared" si="17"/>
        <v>#REF!</v>
      </c>
      <c r="G45" s="41" t="e">
        <f t="shared" si="17"/>
        <v>#REF!</v>
      </c>
      <c r="H45" s="41" t="e">
        <f t="shared" si="17"/>
        <v>#REF!</v>
      </c>
      <c r="I45" s="41" t="e">
        <f t="shared" si="17"/>
        <v>#REF!</v>
      </c>
      <c r="J45" s="41" t="e">
        <f t="shared" si="18"/>
        <v>#REF!</v>
      </c>
      <c r="K45" s="41" t="e">
        <f t="shared" si="18"/>
        <v>#REF!</v>
      </c>
      <c r="L45" s="41" t="e">
        <f t="shared" si="18"/>
        <v>#REF!</v>
      </c>
      <c r="M45" s="41" t="e">
        <f aca="true" t="shared" si="22" ref="M45:T45">+M19/M$16</f>
        <v>#REF!</v>
      </c>
      <c r="N45" s="41" t="e">
        <f t="shared" si="22"/>
        <v>#REF!</v>
      </c>
      <c r="O45" s="41" t="e">
        <f t="shared" si="22"/>
        <v>#REF!</v>
      </c>
      <c r="P45" s="41" t="e">
        <f t="shared" si="22"/>
        <v>#REF!</v>
      </c>
      <c r="Q45" s="41" t="e">
        <f t="shared" si="22"/>
        <v>#REF!</v>
      </c>
      <c r="R45" s="41" t="e">
        <f t="shared" si="22"/>
        <v>#REF!</v>
      </c>
      <c r="S45" s="41" t="e">
        <f t="shared" si="22"/>
        <v>#REF!</v>
      </c>
      <c r="T45" s="41" t="e">
        <f t="shared" si="22"/>
        <v>#REF!</v>
      </c>
      <c r="U45" s="148"/>
      <c r="V45" s="41"/>
      <c r="W45" s="41"/>
      <c r="X45" s="41"/>
      <c r="Y45" s="148"/>
      <c r="Z45" s="41"/>
      <c r="AA45" s="41"/>
      <c r="AB45" s="41"/>
      <c r="AC45" s="148"/>
      <c r="AD45" s="83"/>
      <c r="AE45" s="83"/>
      <c r="AF45" s="83"/>
      <c r="AG45" s="83"/>
      <c r="AH45" s="186"/>
      <c r="AI45" s="186"/>
      <c r="AJ45" s="186"/>
      <c r="AK45" s="186"/>
      <c r="AL45" s="148"/>
      <c r="AM45" s="41" t="e">
        <f>+AM19/AM$16</f>
        <v>#REF!</v>
      </c>
      <c r="AN45" s="41" t="e">
        <f>+AN19/AN$16</f>
        <v>#REF!</v>
      </c>
      <c r="AO45" s="162" t="e">
        <f t="shared" si="20"/>
        <v>#REF!</v>
      </c>
      <c r="AP45" s="41"/>
      <c r="AQ45" s="148"/>
      <c r="AR45" s="41" t="e">
        <f t="shared" si="21"/>
        <v>#REF!</v>
      </c>
      <c r="AS45" s="41" t="e">
        <f t="shared" si="21"/>
        <v>#REF!</v>
      </c>
      <c r="AT45" s="41">
        <f t="shared" si="21"/>
        <v>0.005842394028294763</v>
      </c>
      <c r="AU45" s="41">
        <f t="shared" si="21"/>
        <v>0.03529317954996759</v>
      </c>
      <c r="AV45" s="41">
        <f t="shared" si="21"/>
        <v>0.015382502403516001</v>
      </c>
      <c r="AW45" s="41">
        <f t="shared" si="21"/>
        <v>0.010758919275693132</v>
      </c>
      <c r="AX45" s="31"/>
      <c r="AY45" s="31"/>
      <c r="AZ45" s="31"/>
      <c r="BA45" s="31"/>
      <c r="BB45" s="148"/>
      <c r="BC45" s="148"/>
      <c r="BG45" s="3"/>
    </row>
    <row r="46" spans="1:59" ht="12.75" customHeight="1">
      <c r="A46" s="145" t="s">
        <v>84</v>
      </c>
      <c r="B46" s="146"/>
      <c r="C46" s="162" t="e">
        <f t="shared" si="16"/>
        <v>#REF!</v>
      </c>
      <c r="D46" s="41"/>
      <c r="E46" s="41"/>
      <c r="F46" s="187" t="e">
        <f aca="true" t="shared" si="23" ref="F46:K46">F20/F16</f>
        <v>#REF!</v>
      </c>
      <c r="G46" s="187" t="e">
        <f t="shared" si="23"/>
        <v>#REF!</v>
      </c>
      <c r="H46" s="187" t="e">
        <f t="shared" si="23"/>
        <v>#REF!</v>
      </c>
      <c r="I46" s="187" t="e">
        <f t="shared" si="23"/>
        <v>#REF!</v>
      </c>
      <c r="J46" s="187" t="e">
        <f t="shared" si="23"/>
        <v>#REF!</v>
      </c>
      <c r="K46" s="187" t="e">
        <f t="shared" si="23"/>
        <v>#REF!</v>
      </c>
      <c r="L46" s="187" t="e">
        <f aca="true" t="shared" si="24" ref="L46:Q46">L20/L16</f>
        <v>#REF!</v>
      </c>
      <c r="M46" s="187" t="e">
        <f t="shared" si="24"/>
        <v>#REF!</v>
      </c>
      <c r="N46" s="187" t="e">
        <f t="shared" si="24"/>
        <v>#REF!</v>
      </c>
      <c r="O46" s="187" t="e">
        <f t="shared" si="24"/>
        <v>#REF!</v>
      </c>
      <c r="P46" s="187" t="e">
        <f t="shared" si="24"/>
        <v>#REF!</v>
      </c>
      <c r="Q46" s="187" t="e">
        <f t="shared" si="24"/>
        <v>#REF!</v>
      </c>
      <c r="R46" s="187" t="e">
        <f>R20/R16</f>
        <v>#REF!</v>
      </c>
      <c r="S46" s="187" t="e">
        <f>S20/S16</f>
        <v>#REF!</v>
      </c>
      <c r="T46" s="187" t="e">
        <f>T20/T16</f>
        <v>#REF!</v>
      </c>
      <c r="U46" s="187">
        <f>U20/U16</f>
        <v>0.45987807341302633</v>
      </c>
      <c r="V46" s="187">
        <v>0.4915427149007366</v>
      </c>
      <c r="W46" s="187">
        <v>0.5264264798666947</v>
      </c>
      <c r="X46" s="187">
        <v>0.491577219345877</v>
      </c>
      <c r="Y46" s="187">
        <v>0.49554211112880114</v>
      </c>
      <c r="Z46" s="187">
        <v>0.40791932292811606</v>
      </c>
      <c r="AA46" s="187">
        <v>0.4877104435302658</v>
      </c>
      <c r="AB46" s="187">
        <v>0.44391331269349843</v>
      </c>
      <c r="AC46" s="187">
        <v>0.48046437296790906</v>
      </c>
      <c r="AD46" s="35">
        <v>0.405</v>
      </c>
      <c r="AE46" s="35">
        <v>0.466</v>
      </c>
      <c r="AF46" s="35">
        <v>0.447</v>
      </c>
      <c r="AG46" s="35">
        <v>0.485</v>
      </c>
      <c r="AH46" s="35">
        <v>0.504</v>
      </c>
      <c r="AI46" s="35">
        <v>0.503</v>
      </c>
      <c r="AJ46" s="35">
        <v>0.484</v>
      </c>
      <c r="AK46" s="35">
        <v>0.491</v>
      </c>
      <c r="AL46" s="148"/>
      <c r="AM46" s="187" t="e">
        <f>AM20/AM16</f>
        <v>#REF!</v>
      </c>
      <c r="AN46" s="187" t="e">
        <f>AN20/AN16</f>
        <v>#REF!</v>
      </c>
      <c r="AO46" s="162" t="e">
        <f t="shared" si="20"/>
        <v>#REF!</v>
      </c>
      <c r="AP46" s="41"/>
      <c r="AQ46" s="148"/>
      <c r="AR46" s="187" t="e">
        <f>AR20/AR16</f>
        <v>#REF!</v>
      </c>
      <c r="AS46" s="187" t="e">
        <f>AS20/AS16</f>
        <v>#REF!</v>
      </c>
      <c r="AT46" s="187">
        <f>AT20/AT16</f>
        <v>0.4700913531900106</v>
      </c>
      <c r="AU46" s="35">
        <v>0.5035470661467389</v>
      </c>
      <c r="AV46" s="35">
        <v>0.45593137805745965</v>
      </c>
      <c r="AW46" s="35">
        <v>0.4553548970287691</v>
      </c>
      <c r="AX46" s="35">
        <v>0.497</v>
      </c>
      <c r="AY46" s="358">
        <v>0.506</v>
      </c>
      <c r="AZ46" s="358">
        <v>0.488</v>
      </c>
      <c r="BA46" s="358">
        <v>0.519</v>
      </c>
      <c r="BB46" s="148"/>
      <c r="BC46" s="148"/>
      <c r="BG46" s="3"/>
    </row>
    <row r="47" spans="1:59" ht="12.75" customHeight="1">
      <c r="A47" s="145" t="s">
        <v>259</v>
      </c>
      <c r="B47" s="146"/>
      <c r="C47" s="162" t="e">
        <f t="shared" si="16"/>
        <v>#REF!</v>
      </c>
      <c r="D47" s="41"/>
      <c r="E47" s="41"/>
      <c r="F47" s="187" t="e">
        <f aca="true" t="shared" si="25" ref="F47:K47">(F20+F21)/F16</f>
        <v>#REF!</v>
      </c>
      <c r="G47" s="187" t="e">
        <f t="shared" si="25"/>
        <v>#REF!</v>
      </c>
      <c r="H47" s="187" t="e">
        <f t="shared" si="25"/>
        <v>#REF!</v>
      </c>
      <c r="I47" s="187" t="e">
        <f t="shared" si="25"/>
        <v>#REF!</v>
      </c>
      <c r="J47" s="187" t="e">
        <f t="shared" si="25"/>
        <v>#REF!</v>
      </c>
      <c r="K47" s="187" t="e">
        <f t="shared" si="25"/>
        <v>#REF!</v>
      </c>
      <c r="L47" s="187" t="e">
        <f aca="true" t="shared" si="26" ref="L47:Q47">(L20+L21)/L16</f>
        <v>#REF!</v>
      </c>
      <c r="M47" s="187" t="e">
        <f t="shared" si="26"/>
        <v>#REF!</v>
      </c>
      <c r="N47" s="187" t="e">
        <f t="shared" si="26"/>
        <v>#REF!</v>
      </c>
      <c r="O47" s="187" t="e">
        <f t="shared" si="26"/>
        <v>#REF!</v>
      </c>
      <c r="P47" s="187" t="e">
        <f t="shared" si="26"/>
        <v>#REF!</v>
      </c>
      <c r="Q47" s="187" t="e">
        <f t="shared" si="26"/>
        <v>#REF!</v>
      </c>
      <c r="R47" s="187" t="e">
        <f>(R20+R21)/R16</f>
        <v>#REF!</v>
      </c>
      <c r="S47" s="187" t="e">
        <f>(S20+S21)/S16</f>
        <v>#REF!</v>
      </c>
      <c r="T47" s="187" t="e">
        <f>(T20+T21)/T16</f>
        <v>#REF!</v>
      </c>
      <c r="U47" s="187">
        <f>(U20+U21)/U16</f>
        <v>0.582722782276575</v>
      </c>
      <c r="V47" s="187">
        <v>0.6325110689437066</v>
      </c>
      <c r="W47" s="187">
        <v>0.6241001083914387</v>
      </c>
      <c r="X47" s="187">
        <v>0.6363177168834449</v>
      </c>
      <c r="Y47" s="187">
        <v>0.6233083903836969</v>
      </c>
      <c r="Z47" s="187">
        <v>0.5701527808309519</v>
      </c>
      <c r="AA47" s="187">
        <v>0.6647768520759152</v>
      </c>
      <c r="AB47" s="187">
        <v>0.5844334365325078</v>
      </c>
      <c r="AC47" s="187">
        <v>0.5961351237164533</v>
      </c>
      <c r="AD47" s="35">
        <v>0.524</v>
      </c>
      <c r="AE47" s="35">
        <v>0.551</v>
      </c>
      <c r="AF47" s="35">
        <v>0.536</v>
      </c>
      <c r="AG47" s="35">
        <v>0.559</v>
      </c>
      <c r="AH47" s="35">
        <v>0.576</v>
      </c>
      <c r="AI47" s="35">
        <v>0.571</v>
      </c>
      <c r="AJ47" s="35">
        <v>0.568</v>
      </c>
      <c r="AK47" s="35">
        <v>0.566</v>
      </c>
      <c r="AL47" s="148"/>
      <c r="AM47" s="187" t="e">
        <f>(AM20+AM21)/AM16</f>
        <v>#REF!</v>
      </c>
      <c r="AN47" s="187" t="e">
        <f>(AN20+AN21)/AN16</f>
        <v>#REF!</v>
      </c>
      <c r="AO47" s="162" t="e">
        <f t="shared" si="20"/>
        <v>#REF!</v>
      </c>
      <c r="AP47" s="41"/>
      <c r="AQ47" s="148"/>
      <c r="AR47" s="187" t="e">
        <f>(AR20+AR21)/AR16</f>
        <v>#REF!</v>
      </c>
      <c r="AS47" s="187" t="e">
        <f>(AS20+AS21)/AS16</f>
        <v>#REF!</v>
      </c>
      <c r="AT47" s="187">
        <f>(AT20+AT21)/AT16</f>
        <v>0.5599709968657903</v>
      </c>
      <c r="AU47" s="35">
        <v>0.6285303468356774</v>
      </c>
      <c r="AV47" s="35">
        <v>0.59949619807469</v>
      </c>
      <c r="AW47" s="35">
        <v>0.5442108159094482</v>
      </c>
      <c r="AX47" s="35">
        <v>0.571</v>
      </c>
      <c r="AY47" s="358">
        <v>0.591</v>
      </c>
      <c r="AZ47" s="358">
        <v>0.604</v>
      </c>
      <c r="BA47" s="358">
        <v>0.618</v>
      </c>
      <c r="BB47" s="148"/>
      <c r="BC47" s="148"/>
      <c r="BG47" s="3"/>
    </row>
    <row r="48" spans="1:59" ht="12.75" customHeight="1">
      <c r="A48" s="145" t="s">
        <v>85</v>
      </c>
      <c r="B48" s="146"/>
      <c r="C48" s="162" t="e">
        <f t="shared" si="16"/>
        <v>#REF!</v>
      </c>
      <c r="D48" s="41"/>
      <c r="E48" s="41"/>
      <c r="F48" s="187" t="e">
        <f aca="true" t="shared" si="27" ref="F48:L48">(F23+F24+F25+F26+F27+F28+F29+F32+F33+F34+F30+F31)/F16</f>
        <v>#REF!</v>
      </c>
      <c r="G48" s="187" t="e">
        <f t="shared" si="27"/>
        <v>#REF!</v>
      </c>
      <c r="H48" s="187" t="e">
        <f t="shared" si="27"/>
        <v>#REF!</v>
      </c>
      <c r="I48" s="187" t="e">
        <f t="shared" si="27"/>
        <v>#REF!</v>
      </c>
      <c r="J48" s="187" t="e">
        <f t="shared" si="27"/>
        <v>#REF!</v>
      </c>
      <c r="K48" s="187" t="e">
        <f t="shared" si="27"/>
        <v>#REF!</v>
      </c>
      <c r="L48" s="187" t="e">
        <f t="shared" si="27"/>
        <v>#REF!</v>
      </c>
      <c r="M48" s="187" t="e">
        <f aca="true" t="shared" si="28" ref="M48:U48">(M23+M24+M25+M26+M27+M28+M29+M32+M33+M34+M30+M31)/M16</f>
        <v>#REF!</v>
      </c>
      <c r="N48" s="187" t="e">
        <f t="shared" si="28"/>
        <v>#REF!</v>
      </c>
      <c r="O48" s="187" t="e">
        <f t="shared" si="28"/>
        <v>#REF!</v>
      </c>
      <c r="P48" s="187" t="e">
        <f t="shared" si="28"/>
        <v>#REF!</v>
      </c>
      <c r="Q48" s="187" t="e">
        <f t="shared" si="28"/>
        <v>#REF!</v>
      </c>
      <c r="R48" s="187" t="e">
        <f t="shared" si="28"/>
        <v>#REF!</v>
      </c>
      <c r="S48" s="187" t="e">
        <f t="shared" si="28"/>
        <v>#REF!</v>
      </c>
      <c r="T48" s="187" t="e">
        <f t="shared" si="28"/>
        <v>#REF!</v>
      </c>
      <c r="U48" s="187">
        <f t="shared" si="28"/>
        <v>0.38562037496097984</v>
      </c>
      <c r="V48" s="187">
        <v>0.3649894921548224</v>
      </c>
      <c r="W48" s="187">
        <v>0.23753094009350784</v>
      </c>
      <c r="X48" s="187">
        <v>0.3192574820053037</v>
      </c>
      <c r="Y48" s="187">
        <v>0.27244296859007894</v>
      </c>
      <c r="Z48" s="187">
        <v>0.3369559243789844</v>
      </c>
      <c r="AA48" s="187">
        <v>0.9026687869464514</v>
      </c>
      <c r="AB48" s="187">
        <v>0.3657585139318885</v>
      </c>
      <c r="AC48" s="187">
        <v>0.2922812689432209</v>
      </c>
      <c r="AD48" s="35">
        <v>0.9119999999999999</v>
      </c>
      <c r="AE48" s="35">
        <v>0.32099999999999995</v>
      </c>
      <c r="AF48" s="35">
        <v>0.315</v>
      </c>
      <c r="AG48" s="35">
        <v>0.21399999999999997</v>
      </c>
      <c r="AH48" s="35">
        <v>0.19700000000000006</v>
      </c>
      <c r="AI48" s="35">
        <v>0.2230000000000001</v>
      </c>
      <c r="AJ48" s="35">
        <v>0.28700000000000003</v>
      </c>
      <c r="AK48" s="35">
        <v>0.281</v>
      </c>
      <c r="AL48" s="148"/>
      <c r="AM48" s="187" t="e">
        <f>(AM35-AM20-AM21)/AM16</f>
        <v>#REF!</v>
      </c>
      <c r="AN48" s="187" t="e">
        <f>(AN35-AN20-AN21)/AN16</f>
        <v>#REF!</v>
      </c>
      <c r="AO48" s="162" t="e">
        <f t="shared" si="20"/>
        <v>#REF!</v>
      </c>
      <c r="AP48" s="41"/>
      <c r="AQ48" s="148"/>
      <c r="AR48" s="187" t="e">
        <f>(AR23+AR24+AR25+AR26+AR27+AR28+AR29+AR32+AR33+AR34+AR30+AR31)/AR16</f>
        <v>#REF!</v>
      </c>
      <c r="AS48" s="187" t="e">
        <f>(AS23+AS24+AS25+AS26+AS27+AS28+AS29+AS32+AS33+AS34+AS30+AS31)/AS16</f>
        <v>#REF!</v>
      </c>
      <c r="AT48" s="187">
        <f>(AT23+AT24+AT25+AT26+AT27+AT28+AT29+AT32+AT33+AT34+AT30+AT31)/AT16</f>
        <v>0.25307072354132276</v>
      </c>
      <c r="AU48" s="35">
        <v>0.29421100284999946</v>
      </c>
      <c r="AV48" s="35">
        <v>0.4310908841193143</v>
      </c>
      <c r="AW48" s="35">
        <v>0.4083298223549756</v>
      </c>
      <c r="AX48" s="35">
        <v>0.243</v>
      </c>
      <c r="AY48" s="358">
        <v>0.24</v>
      </c>
      <c r="AZ48" s="358">
        <v>0.262</v>
      </c>
      <c r="BA48" s="358">
        <v>0.235</v>
      </c>
      <c r="BB48" s="148"/>
      <c r="BC48" s="148"/>
      <c r="BG48" s="3"/>
    </row>
    <row r="49" spans="1:59" ht="12.75" customHeight="1">
      <c r="A49" s="145" t="s">
        <v>86</v>
      </c>
      <c r="B49" s="145"/>
      <c r="C49" s="162" t="e">
        <f t="shared" si="16"/>
        <v>#REF!</v>
      </c>
      <c r="D49" s="41"/>
      <c r="E49" s="41"/>
      <c r="F49" s="187" t="e">
        <f aca="true" t="shared" si="29" ref="F49:L49">F35/F16</f>
        <v>#REF!</v>
      </c>
      <c r="G49" s="187" t="e">
        <f t="shared" si="29"/>
        <v>#REF!</v>
      </c>
      <c r="H49" s="187" t="e">
        <f t="shared" si="29"/>
        <v>#REF!</v>
      </c>
      <c r="I49" s="187" t="e">
        <f t="shared" si="29"/>
        <v>#REF!</v>
      </c>
      <c r="J49" s="187" t="e">
        <f t="shared" si="29"/>
        <v>#REF!</v>
      </c>
      <c r="K49" s="187" t="e">
        <f t="shared" si="29"/>
        <v>#REF!</v>
      </c>
      <c r="L49" s="187" t="e">
        <f t="shared" si="29"/>
        <v>#REF!</v>
      </c>
      <c r="M49" s="187" t="e">
        <f aca="true" t="shared" si="30" ref="M49:U49">M35/M16</f>
        <v>#REF!</v>
      </c>
      <c r="N49" s="187" t="e">
        <f t="shared" si="30"/>
        <v>#REF!</v>
      </c>
      <c r="O49" s="187" t="e">
        <f t="shared" si="30"/>
        <v>#REF!</v>
      </c>
      <c r="P49" s="187" t="e">
        <f t="shared" si="30"/>
        <v>#REF!</v>
      </c>
      <c r="Q49" s="187" t="e">
        <f t="shared" si="30"/>
        <v>#REF!</v>
      </c>
      <c r="R49" s="187" t="e">
        <f t="shared" si="30"/>
        <v>#REF!</v>
      </c>
      <c r="S49" s="187" t="e">
        <f t="shared" si="30"/>
        <v>#REF!</v>
      </c>
      <c r="T49" s="187" t="e">
        <f t="shared" si="30"/>
        <v>#REF!</v>
      </c>
      <c r="U49" s="187">
        <f t="shared" si="30"/>
        <v>0.9683431572375548</v>
      </c>
      <c r="V49" s="187">
        <v>0.9975005610985289</v>
      </c>
      <c r="W49" s="187">
        <v>0.8616310484849465</v>
      </c>
      <c r="X49" s="187">
        <v>0.9555751988887485</v>
      </c>
      <c r="Y49" s="187">
        <v>0.8947513589737758</v>
      </c>
      <c r="Z49" s="187">
        <v>0.9071087052099363</v>
      </c>
      <c r="AA49" s="187">
        <v>1.5674456390223666</v>
      </c>
      <c r="AB49" s="187">
        <v>0.9501919504643963</v>
      </c>
      <c r="AC49" s="187">
        <v>0.8884163926596741</v>
      </c>
      <c r="AD49" s="35">
        <v>1.436</v>
      </c>
      <c r="AE49" s="35">
        <v>0.872</v>
      </c>
      <c r="AF49" s="35">
        <v>0.851</v>
      </c>
      <c r="AG49" s="35">
        <v>0.773</v>
      </c>
      <c r="AH49" s="35">
        <v>0.773</v>
      </c>
      <c r="AI49" s="35">
        <v>0.794</v>
      </c>
      <c r="AJ49" s="35">
        <v>0.855</v>
      </c>
      <c r="AK49" s="35">
        <v>0.847</v>
      </c>
      <c r="AL49" s="148"/>
      <c r="AM49" s="187" t="e">
        <f>AM35/AM16</f>
        <v>#REF!</v>
      </c>
      <c r="AN49" s="187" t="e">
        <f>AN35/AN16</f>
        <v>#REF!</v>
      </c>
      <c r="AO49" s="162" t="e">
        <f t="shared" si="20"/>
        <v>#REF!</v>
      </c>
      <c r="AP49" s="41"/>
      <c r="AQ49" s="148"/>
      <c r="AR49" s="187" t="e">
        <f>AR35/AR16</f>
        <v>#REF!</v>
      </c>
      <c r="AS49" s="187" t="e">
        <f>AS35/AS16</f>
        <v>#REF!</v>
      </c>
      <c r="AT49" s="187">
        <f>AT35/AT16</f>
        <v>0.8130417204071131</v>
      </c>
      <c r="AU49" s="35">
        <v>0.921741349685677</v>
      </c>
      <c r="AV49" s="35">
        <v>1.0305870821940044</v>
      </c>
      <c r="AW49" s="35">
        <v>0.9515406382644238</v>
      </c>
      <c r="AX49" s="35">
        <v>0.814</v>
      </c>
      <c r="AY49" s="358">
        <v>0.831</v>
      </c>
      <c r="AZ49" s="358">
        <v>0.866</v>
      </c>
      <c r="BA49" s="358">
        <v>0.853</v>
      </c>
      <c r="BB49" s="148"/>
      <c r="BC49" s="148"/>
      <c r="BG49" s="3"/>
    </row>
    <row r="50" spans="1:59" ht="12.75" customHeight="1">
      <c r="A50" s="145" t="s">
        <v>87</v>
      </c>
      <c r="B50" s="749"/>
      <c r="C50" s="162" t="e">
        <f>I50-M50</f>
        <v>#REF!</v>
      </c>
      <c r="D50" s="41"/>
      <c r="E50" s="41"/>
      <c r="F50" s="187" t="e">
        <f aca="true" t="shared" si="31" ref="F50:L50">F36/F16</f>
        <v>#REF!</v>
      </c>
      <c r="G50" s="187" t="e">
        <f t="shared" si="31"/>
        <v>#REF!</v>
      </c>
      <c r="H50" s="187" t="e">
        <f t="shared" si="31"/>
        <v>#REF!</v>
      </c>
      <c r="I50" s="187" t="e">
        <f t="shared" si="31"/>
        <v>#REF!</v>
      </c>
      <c r="J50" s="187" t="e">
        <f t="shared" si="31"/>
        <v>#REF!</v>
      </c>
      <c r="K50" s="187" t="e">
        <f t="shared" si="31"/>
        <v>#REF!</v>
      </c>
      <c r="L50" s="187" t="e">
        <f t="shared" si="31"/>
        <v>#REF!</v>
      </c>
      <c r="M50" s="187" t="e">
        <f aca="true" t="shared" si="32" ref="M50:U50">M36/M16</f>
        <v>#REF!</v>
      </c>
      <c r="N50" s="187" t="e">
        <f t="shared" si="32"/>
        <v>#REF!</v>
      </c>
      <c r="O50" s="187" t="e">
        <f t="shared" si="32"/>
        <v>#REF!</v>
      </c>
      <c r="P50" s="187" t="e">
        <f t="shared" si="32"/>
        <v>#REF!</v>
      </c>
      <c r="Q50" s="187" t="e">
        <f t="shared" si="32"/>
        <v>#REF!</v>
      </c>
      <c r="R50" s="187" t="e">
        <f t="shared" si="32"/>
        <v>#REF!</v>
      </c>
      <c r="S50" s="187" t="e">
        <f t="shared" si="32"/>
        <v>#REF!</v>
      </c>
      <c r="T50" s="187" t="e">
        <f t="shared" si="32"/>
        <v>#REF!</v>
      </c>
      <c r="U50" s="187">
        <f t="shared" si="32"/>
        <v>0.03165684276244514</v>
      </c>
      <c r="V50" s="187">
        <v>0.0024994389014710984</v>
      </c>
      <c r="W50" s="187">
        <v>0.13836895151505346</v>
      </c>
      <c r="X50" s="187">
        <v>0.04442480111125142</v>
      </c>
      <c r="Y50" s="187">
        <v>0.10424864102622422</v>
      </c>
      <c r="Z50" s="187">
        <v>0.09289129479006375</v>
      </c>
      <c r="AA50" s="187">
        <v>-0.5660110176662579</v>
      </c>
      <c r="AB50" s="187">
        <v>0.05010213556174559</v>
      </c>
      <c r="AC50" s="187">
        <v>0.111746772208856</v>
      </c>
      <c r="AD50" s="35">
        <v>-0.4357842527073738</v>
      </c>
      <c r="AE50" s="35">
        <v>0.128</v>
      </c>
      <c r="AF50" s="35">
        <v>0.14900000000000002</v>
      </c>
      <c r="AG50" s="35">
        <v>0.22699999999999998</v>
      </c>
      <c r="AH50" s="35">
        <v>0.22699999999999998</v>
      </c>
      <c r="AI50" s="35">
        <v>0.20599999999999996</v>
      </c>
      <c r="AJ50" s="35">
        <v>0.145</v>
      </c>
      <c r="AK50" s="35">
        <v>0.15300000000000002</v>
      </c>
      <c r="AL50" s="148"/>
      <c r="AM50" s="187" t="e">
        <f>AM36/AM16</f>
        <v>#REF!</v>
      </c>
      <c r="AN50" s="187" t="e">
        <f>AN36/AN16</f>
        <v>#REF!</v>
      </c>
      <c r="AO50" s="162" t="e">
        <f t="shared" si="20"/>
        <v>#REF!</v>
      </c>
      <c r="AP50" s="41"/>
      <c r="AQ50" s="148"/>
      <c r="AR50" s="187" t="e">
        <f>AR36/AR16</f>
        <v>#REF!</v>
      </c>
      <c r="AS50" s="187" t="e">
        <f>AS36/AS16</f>
        <v>#REF!</v>
      </c>
      <c r="AT50" s="187">
        <f>AT36/AT16</f>
        <v>0.18695827959288688</v>
      </c>
      <c r="AU50" s="35">
        <v>0.07725865031432305</v>
      </c>
      <c r="AV50" s="35">
        <v>-0.03058708219400432</v>
      </c>
      <c r="AW50" s="35">
        <v>0.04880703091544122</v>
      </c>
      <c r="AX50" s="35">
        <v>0.1870301531408579</v>
      </c>
      <c r="AY50" s="358">
        <f>AY36/AY16</f>
        <v>0.16914940784451749</v>
      </c>
      <c r="AZ50" s="358">
        <f>AZ36/AZ16</f>
        <v>0.13366467943212246</v>
      </c>
      <c r="BA50" s="358">
        <v>0.14700000000000002</v>
      </c>
      <c r="BB50" s="148"/>
      <c r="BC50" s="148"/>
      <c r="BG50" s="3"/>
    </row>
    <row r="51" spans="1:59" ht="12.75" customHeight="1">
      <c r="A51" s="146"/>
      <c r="B51" s="146"/>
      <c r="C51" s="162"/>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187"/>
      <c r="AD51" s="187"/>
      <c r="AE51" s="83"/>
      <c r="AF51" s="83"/>
      <c r="AG51" s="83"/>
      <c r="AH51" s="187"/>
      <c r="AI51" s="187"/>
      <c r="AJ51" s="187"/>
      <c r="AK51" s="187"/>
      <c r="AL51" s="148"/>
      <c r="AM51" s="148"/>
      <c r="AN51" s="148"/>
      <c r="AO51" s="162"/>
      <c r="AP51" s="41"/>
      <c r="AQ51" s="148"/>
      <c r="AR51" s="35"/>
      <c r="AS51" s="35"/>
      <c r="AT51" s="35"/>
      <c r="AU51" s="35"/>
      <c r="AV51" s="35"/>
      <c r="AW51" s="35"/>
      <c r="AX51" s="11"/>
      <c r="AY51" s="358"/>
      <c r="AZ51" s="358"/>
      <c r="BA51" s="358"/>
      <c r="BB51" s="148"/>
      <c r="BC51" s="148"/>
      <c r="BG51" s="3"/>
    </row>
    <row r="52" spans="1:59" ht="12.75" customHeight="1">
      <c r="A52" s="146" t="s">
        <v>100</v>
      </c>
      <c r="B52" s="146"/>
      <c r="C52" s="167">
        <f>I52-M52</f>
        <v>-285</v>
      </c>
      <c r="D52" s="41">
        <f>IF(OR((C52/M52)&gt;3,(C52/M52)&lt;-3),"n.m.",(C52/M52))</f>
        <v>-0.2231793265465936</v>
      </c>
      <c r="E52" s="41"/>
      <c r="F52" s="272"/>
      <c r="G52" s="272"/>
      <c r="H52" s="272"/>
      <c r="I52" s="272">
        <f>+'12 Misc Operating Stats'!I15</f>
        <v>992</v>
      </c>
      <c r="J52" s="272">
        <f>+'12 Misc Operating Stats'!J15</f>
        <v>1015</v>
      </c>
      <c r="K52" s="272">
        <f>+'12 Misc Operating Stats'!K15</f>
        <v>1049</v>
      </c>
      <c r="L52" s="272">
        <f>+'12 Misc Operating Stats'!L15</f>
        <v>1185</v>
      </c>
      <c r="M52" s="272">
        <f>+'12 Misc Operating Stats'!M15</f>
        <v>1277</v>
      </c>
      <c r="N52" s="272">
        <f>'12 Misc Operating Stats'!N15</f>
        <v>1309</v>
      </c>
      <c r="O52" s="272">
        <f>'12 Misc Operating Stats'!O15</f>
        <v>1347</v>
      </c>
      <c r="P52" s="272">
        <f>'12 Misc Operating Stats'!P15</f>
        <v>1336</v>
      </c>
      <c r="Q52" s="272">
        <f>'12 Misc Operating Stats'!Q15</f>
        <v>1313</v>
      </c>
      <c r="R52" s="272">
        <v>1325</v>
      </c>
      <c r="S52" s="272">
        <v>1312</v>
      </c>
      <c r="T52" s="272">
        <v>1310</v>
      </c>
      <c r="U52" s="272">
        <v>1333</v>
      </c>
      <c r="V52" s="153">
        <v>1247</v>
      </c>
      <c r="W52" s="272">
        <v>1271</v>
      </c>
      <c r="X52" s="272">
        <v>1257</v>
      </c>
      <c r="Y52" s="272">
        <v>1244</v>
      </c>
      <c r="Z52" s="272">
        <v>1265</v>
      </c>
      <c r="AA52" s="272">
        <v>1301</v>
      </c>
      <c r="AB52" s="272">
        <v>1385</v>
      </c>
      <c r="AC52" s="352">
        <v>1404</v>
      </c>
      <c r="AD52" s="352">
        <v>1395</v>
      </c>
      <c r="AE52" s="352">
        <v>1399</v>
      </c>
      <c r="AF52" s="352">
        <v>1418</v>
      </c>
      <c r="AG52" s="352">
        <v>1383</v>
      </c>
      <c r="AH52" s="352">
        <v>1334</v>
      </c>
      <c r="AI52" s="352">
        <v>1310</v>
      </c>
      <c r="AJ52" s="352">
        <v>1309</v>
      </c>
      <c r="AK52" s="352">
        <v>1292</v>
      </c>
      <c r="AL52" s="148"/>
      <c r="AM52" s="213">
        <f>K52</f>
        <v>1049</v>
      </c>
      <c r="AN52" s="213">
        <f>O52</f>
        <v>1347</v>
      </c>
      <c r="AO52" s="213">
        <f>AR52-AS52</f>
        <v>-294</v>
      </c>
      <c r="AP52" s="41">
        <f>IF(OR((AO52/AS52)&gt;3,(AO52/AS52)&lt;-3),"n.m.",(AO52/AS52))</f>
        <v>-0.22459893048128343</v>
      </c>
      <c r="AQ52" s="148"/>
      <c r="AR52" s="167">
        <f>+J52</f>
        <v>1015</v>
      </c>
      <c r="AS52" s="167">
        <f>N52</f>
        <v>1309</v>
      </c>
      <c r="AT52" s="167">
        <v>1325</v>
      </c>
      <c r="AU52" s="167">
        <v>1247</v>
      </c>
      <c r="AV52" s="167">
        <v>1265</v>
      </c>
      <c r="AW52" s="167">
        <v>1395</v>
      </c>
      <c r="AX52" s="167">
        <v>1334</v>
      </c>
      <c r="AY52" s="352">
        <v>1257</v>
      </c>
      <c r="AZ52" s="352">
        <v>1190</v>
      </c>
      <c r="BA52" s="352">
        <v>1104</v>
      </c>
      <c r="BB52" s="148"/>
      <c r="BC52" s="148"/>
      <c r="BG52" s="3"/>
    </row>
    <row r="53" spans="1:59" ht="12.75" customHeight="1">
      <c r="A53" s="7"/>
      <c r="B53" s="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352"/>
      <c r="AZ53" s="352"/>
      <c r="BA53" s="352"/>
      <c r="BB53" s="148"/>
      <c r="BC53" s="148"/>
      <c r="BG53" s="3"/>
    </row>
    <row r="54" spans="1:59" ht="18" customHeight="1">
      <c r="A54" s="12" t="s">
        <v>324</v>
      </c>
      <c r="B54" s="7"/>
      <c r="C54" s="83"/>
      <c r="D54" s="83"/>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83"/>
      <c r="AG54" s="83"/>
      <c r="AH54" s="83"/>
      <c r="AI54" s="83"/>
      <c r="AJ54" s="83"/>
      <c r="AK54" s="83"/>
      <c r="AL54" s="83"/>
      <c r="AM54" s="83"/>
      <c r="AN54" s="83"/>
      <c r="AO54" s="148"/>
      <c r="AP54" s="148"/>
      <c r="AQ54" s="83"/>
      <c r="AR54" s="741"/>
      <c r="AS54" s="741"/>
      <c r="AT54" s="83"/>
      <c r="AU54" s="83"/>
      <c r="AV54" s="83"/>
      <c r="AW54" s="83"/>
      <c r="AX54" s="83"/>
      <c r="AY54" s="357"/>
      <c r="AZ54" s="357"/>
      <c r="BA54" s="357"/>
      <c r="BB54" s="148"/>
      <c r="BC54" s="148"/>
      <c r="BG54" s="3"/>
    </row>
    <row r="55" spans="1:59" ht="12.75" customHeight="1">
      <c r="A55" s="193"/>
      <c r="B55" s="7"/>
      <c r="C55" s="83"/>
      <c r="D55" s="83"/>
      <c r="E55" s="148"/>
      <c r="F55" s="468"/>
      <c r="G55" s="468"/>
      <c r="H55" s="468"/>
      <c r="I55" s="148"/>
      <c r="J55" s="468"/>
      <c r="K55" s="468"/>
      <c r="L55" s="468"/>
      <c r="M55" s="148"/>
      <c r="N55" s="468"/>
      <c r="O55" s="468"/>
      <c r="P55" s="468"/>
      <c r="Q55" s="148"/>
      <c r="R55" s="468"/>
      <c r="S55" s="468"/>
      <c r="T55" s="468"/>
      <c r="U55" s="148"/>
      <c r="V55" s="468"/>
      <c r="W55" s="468"/>
      <c r="X55" s="468"/>
      <c r="Y55" s="148"/>
      <c r="Z55" s="468"/>
      <c r="AA55" s="148"/>
      <c r="AB55" s="148"/>
      <c r="AC55" s="148"/>
      <c r="AD55" s="148"/>
      <c r="AE55" s="148"/>
      <c r="AF55" s="83"/>
      <c r="AG55" s="83"/>
      <c r="AH55" s="83"/>
      <c r="AI55" s="83"/>
      <c r="AJ55" s="83"/>
      <c r="AK55" s="83"/>
      <c r="AL55" s="83"/>
      <c r="AM55" s="83"/>
      <c r="AN55" s="83"/>
      <c r="AO55" s="83"/>
      <c r="AP55" s="83"/>
      <c r="AQ55" s="83"/>
      <c r="AR55" s="83"/>
      <c r="AS55" s="83"/>
      <c r="AT55" s="83"/>
      <c r="AU55" s="83"/>
      <c r="AV55" s="83"/>
      <c r="AW55" s="83"/>
      <c r="AX55" s="83"/>
      <c r="AY55" s="357"/>
      <c r="AZ55" s="357"/>
      <c r="BA55" s="357"/>
      <c r="BB55" s="148"/>
      <c r="BC55" s="148"/>
      <c r="BG55" s="3"/>
    </row>
    <row r="56" spans="1:59" ht="12.75" customHeight="1">
      <c r="A56" s="6"/>
      <c r="B56" s="7"/>
      <c r="C56" s="1437" t="s">
        <v>428</v>
      </c>
      <c r="D56" s="1438"/>
      <c r="E56" s="259"/>
      <c r="F56" s="477"/>
      <c r="G56" s="477"/>
      <c r="H56" s="477"/>
      <c r="I56" s="19"/>
      <c r="J56" s="477"/>
      <c r="K56" s="477"/>
      <c r="L56" s="477"/>
      <c r="M56" s="19"/>
      <c r="N56" s="17"/>
      <c r="O56" s="18"/>
      <c r="P56" s="477"/>
      <c r="Q56" s="19"/>
      <c r="R56" s="17"/>
      <c r="S56" s="18"/>
      <c r="T56" s="477"/>
      <c r="U56" s="19"/>
      <c r="W56" s="18"/>
      <c r="X56" s="2"/>
      <c r="Y56" s="19"/>
      <c r="Z56" s="18"/>
      <c r="AB56" s="477"/>
      <c r="AC56" s="19"/>
      <c r="AD56" s="18"/>
      <c r="AE56" s="18"/>
      <c r="AF56" s="18"/>
      <c r="AG56" s="18"/>
      <c r="AH56" s="22"/>
      <c r="AI56" s="19"/>
      <c r="AJ56" s="19"/>
      <c r="AK56" s="19"/>
      <c r="AL56" s="24"/>
      <c r="AM56" s="725" t="s">
        <v>406</v>
      </c>
      <c r="AN56" s="711"/>
      <c r="AO56" s="711" t="s">
        <v>386</v>
      </c>
      <c r="AP56" s="712"/>
      <c r="AQ56" s="15"/>
      <c r="AR56" s="88"/>
      <c r="AS56" s="88"/>
      <c r="AT56" s="88"/>
      <c r="AU56" s="88"/>
      <c r="AV56" s="88"/>
      <c r="AW56" s="194"/>
      <c r="AX56" s="194"/>
      <c r="AY56" s="88"/>
      <c r="AZ56" s="88"/>
      <c r="BA56" s="669"/>
      <c r="BB56" s="164"/>
      <c r="BC56" s="148"/>
      <c r="BG56" s="3"/>
    </row>
    <row r="57" spans="1:59" ht="12.75" customHeight="1">
      <c r="A57" s="6" t="s">
        <v>107</v>
      </c>
      <c r="B57" s="7"/>
      <c r="C57" s="1439" t="s">
        <v>41</v>
      </c>
      <c r="D57" s="1440"/>
      <c r="E57" s="603"/>
      <c r="F57" s="21" t="s">
        <v>431</v>
      </c>
      <c r="G57" s="21" t="s">
        <v>430</v>
      </c>
      <c r="H57" s="21" t="s">
        <v>429</v>
      </c>
      <c r="I57" s="14" t="s">
        <v>427</v>
      </c>
      <c r="J57" s="21" t="s">
        <v>362</v>
      </c>
      <c r="K57" s="21" t="s">
        <v>363</v>
      </c>
      <c r="L57" s="21" t="s">
        <v>364</v>
      </c>
      <c r="M57" s="14" t="s">
        <v>365</v>
      </c>
      <c r="N57" s="20" t="s">
        <v>277</v>
      </c>
      <c r="O57" s="21" t="s">
        <v>278</v>
      </c>
      <c r="P57" s="21" t="s">
        <v>279</v>
      </c>
      <c r="Q57" s="14" t="s">
        <v>276</v>
      </c>
      <c r="R57" s="20" t="s">
        <v>222</v>
      </c>
      <c r="S57" s="21" t="s">
        <v>223</v>
      </c>
      <c r="T57" s="21" t="s">
        <v>224</v>
      </c>
      <c r="U57" s="14" t="s">
        <v>225</v>
      </c>
      <c r="V57" s="21" t="s">
        <v>141</v>
      </c>
      <c r="W57" s="21" t="s">
        <v>140</v>
      </c>
      <c r="X57" s="21" t="s">
        <v>139</v>
      </c>
      <c r="Y57" s="14" t="s">
        <v>138</v>
      </c>
      <c r="Z57" s="21" t="s">
        <v>91</v>
      </c>
      <c r="AA57" s="21" t="s">
        <v>92</v>
      </c>
      <c r="AB57" s="21" t="s">
        <v>93</v>
      </c>
      <c r="AC57" s="14" t="s">
        <v>32</v>
      </c>
      <c r="AD57" s="21" t="s">
        <v>33</v>
      </c>
      <c r="AE57" s="21" t="s">
        <v>34</v>
      </c>
      <c r="AF57" s="21" t="s">
        <v>35</v>
      </c>
      <c r="AG57" s="21" t="s">
        <v>36</v>
      </c>
      <c r="AH57" s="23" t="s">
        <v>37</v>
      </c>
      <c r="AI57" s="14" t="s">
        <v>38</v>
      </c>
      <c r="AJ57" s="14" t="s">
        <v>39</v>
      </c>
      <c r="AK57" s="14" t="s">
        <v>40</v>
      </c>
      <c r="AL57" s="259"/>
      <c r="AM57" s="21" t="s">
        <v>363</v>
      </c>
      <c r="AN57" s="21" t="s">
        <v>278</v>
      </c>
      <c r="AO57" s="1461" t="s">
        <v>41</v>
      </c>
      <c r="AP57" s="1436"/>
      <c r="AQ57" s="197"/>
      <c r="AR57" s="20" t="s">
        <v>367</v>
      </c>
      <c r="AS57" s="20" t="s">
        <v>285</v>
      </c>
      <c r="AT57" s="20" t="s">
        <v>143</v>
      </c>
      <c r="AU57" s="20" t="s">
        <v>142</v>
      </c>
      <c r="AV57" s="20" t="s">
        <v>45</v>
      </c>
      <c r="AW57" s="23" t="s">
        <v>42</v>
      </c>
      <c r="AX57" s="23" t="s">
        <v>43</v>
      </c>
      <c r="AY57" s="23" t="s">
        <v>165</v>
      </c>
      <c r="AZ57" s="23" t="s">
        <v>166</v>
      </c>
      <c r="BA57" s="21" t="s">
        <v>167</v>
      </c>
      <c r="BB57" s="164"/>
      <c r="BC57" s="148"/>
      <c r="BG57" s="3"/>
    </row>
    <row r="58" spans="1:59" ht="12.75" customHeight="1">
      <c r="A58" s="147"/>
      <c r="B58" s="148" t="s">
        <v>4</v>
      </c>
      <c r="C58" s="84" t="e">
        <f>I58-M58</f>
        <v>#REF!</v>
      </c>
      <c r="D58" s="30" t="e">
        <f>IF(OR((C58/M58)&gt;3,(C58/M58)&lt;-3),"n.m.",(C58/M58))</f>
        <v>#REF!</v>
      </c>
      <c r="E58" s="89"/>
      <c r="F58" s="380" t="e">
        <f aca="true" t="shared" si="33" ref="F58:M58">+F16</f>
        <v>#REF!</v>
      </c>
      <c r="G58" s="380" t="e">
        <f t="shared" si="33"/>
        <v>#REF!</v>
      </c>
      <c r="H58" s="380" t="e">
        <f t="shared" si="33"/>
        <v>#REF!</v>
      </c>
      <c r="I58" s="424" t="e">
        <f t="shared" si="33"/>
        <v>#REF!</v>
      </c>
      <c r="J58" s="380" t="e">
        <f t="shared" si="33"/>
        <v>#REF!</v>
      </c>
      <c r="K58" s="380" t="e">
        <f t="shared" si="33"/>
        <v>#REF!</v>
      </c>
      <c r="L58" s="380" t="e">
        <f t="shared" si="33"/>
        <v>#REF!</v>
      </c>
      <c r="M58" s="424" t="e">
        <f t="shared" si="33"/>
        <v>#REF!</v>
      </c>
      <c r="N58" s="380" t="e">
        <f aca="true" t="shared" si="34" ref="N58:U58">N16</f>
        <v>#REF!</v>
      </c>
      <c r="O58" s="380" t="e">
        <f t="shared" si="34"/>
        <v>#REF!</v>
      </c>
      <c r="P58" s="380" t="e">
        <f t="shared" si="34"/>
        <v>#REF!</v>
      </c>
      <c r="Q58" s="424" t="e">
        <f t="shared" si="34"/>
        <v>#REF!</v>
      </c>
      <c r="R58" s="380" t="e">
        <f t="shared" si="34"/>
        <v>#REF!</v>
      </c>
      <c r="S58" s="380" t="e">
        <f t="shared" si="34"/>
        <v>#REF!</v>
      </c>
      <c r="T58" s="380" t="e">
        <f t="shared" si="34"/>
        <v>#REF!</v>
      </c>
      <c r="U58" s="424">
        <f t="shared" si="34"/>
        <v>108918</v>
      </c>
      <c r="V58" s="380">
        <v>98022</v>
      </c>
      <c r="W58" s="380">
        <v>123626</v>
      </c>
      <c r="X58" s="380">
        <v>79190</v>
      </c>
      <c r="Y58" s="424">
        <v>87934</v>
      </c>
      <c r="Z58" s="390">
        <v>72784</v>
      </c>
      <c r="AA58" s="380">
        <v>57907</v>
      </c>
      <c r="AB58" s="380">
        <v>80775</v>
      </c>
      <c r="AC58" s="380">
        <v>108898</v>
      </c>
      <c r="AD58" s="231">
        <v>104437</v>
      </c>
      <c r="AE58" s="380">
        <v>125130</v>
      </c>
      <c r="AF58" s="380">
        <v>117358</v>
      </c>
      <c r="AG58" s="390">
        <v>162141</v>
      </c>
      <c r="AH58" s="230">
        <v>153624</v>
      </c>
      <c r="AI58" s="216">
        <v>134705</v>
      </c>
      <c r="AJ58" s="216">
        <v>108408</v>
      </c>
      <c r="AK58" s="225">
        <v>133250</v>
      </c>
      <c r="AL58" s="89"/>
      <c r="AM58" s="380" t="e">
        <f>SUM(K58:M58)</f>
        <v>#REF!</v>
      </c>
      <c r="AN58" s="380" t="e">
        <f>SUM(O58:Q58)</f>
        <v>#REF!</v>
      </c>
      <c r="AO58" s="391" t="e">
        <f>AR58-AS58</f>
        <v>#REF!</v>
      </c>
      <c r="AP58" s="392" t="e">
        <f>IF(OR((AO58/AS58)&gt;3,(AO58/AS58)&lt;-3),"n.m.",(AO58/AS58))</f>
        <v>#REF!</v>
      </c>
      <c r="AQ58" s="83"/>
      <c r="AR58" s="179" t="e">
        <f>SUM(J58:M58)</f>
        <v>#REF!</v>
      </c>
      <c r="AS58" s="179" t="e">
        <f>SUM(N58:Q58)</f>
        <v>#REF!</v>
      </c>
      <c r="AT58" s="179" t="e">
        <f>SUM(R58:U58)</f>
        <v>#REF!</v>
      </c>
      <c r="AU58" s="179">
        <v>388772</v>
      </c>
      <c r="AV58" s="179">
        <v>320364</v>
      </c>
      <c r="AW58" s="505">
        <v>509066</v>
      </c>
      <c r="AX58" s="505">
        <v>530492</v>
      </c>
      <c r="AY58" s="505">
        <f>AY16</f>
        <v>437554</v>
      </c>
      <c r="AZ58" s="505">
        <f>AZ16</f>
        <v>316688</v>
      </c>
      <c r="BA58" s="360">
        <v>317668</v>
      </c>
      <c r="BB58" s="164"/>
      <c r="BC58" s="148"/>
      <c r="BG58" s="3"/>
    </row>
    <row r="59" spans="1:59" ht="12.75" customHeight="1">
      <c r="A59" s="83"/>
      <c r="B59" s="83" t="s">
        <v>90</v>
      </c>
      <c r="C59" s="84">
        <f>I59-M59</f>
        <v>-14408</v>
      </c>
      <c r="D59" s="45">
        <f>IF(OR((C59/M59)&gt;3,(C59/M59)&lt;-3),"n.m.",(C59/M59))</f>
        <v>-0.18294943748888945</v>
      </c>
      <c r="E59" s="606"/>
      <c r="F59" s="466">
        <f>+F35-F30-F31</f>
        <v>0</v>
      </c>
      <c r="G59" s="466">
        <f>+G35-G30-G31</f>
        <v>0</v>
      </c>
      <c r="H59" s="466">
        <f>+H35-H30-H31</f>
        <v>0</v>
      </c>
      <c r="I59" s="424">
        <f>+I35-I30-I31-930</f>
        <v>64346</v>
      </c>
      <c r="J59" s="466">
        <f>+J35-J30-J31-930</f>
        <v>88463</v>
      </c>
      <c r="K59" s="466">
        <f>+K35-K30-K31-930</f>
        <v>96572</v>
      </c>
      <c r="L59" s="466">
        <f>+L35-L30-L31-930</f>
        <v>79613</v>
      </c>
      <c r="M59" s="424">
        <f>+M35-930</f>
        <v>78754</v>
      </c>
      <c r="N59" s="466">
        <f>N35-N30-930</f>
        <v>112287</v>
      </c>
      <c r="O59" s="466">
        <f>O35-O31-930-O30</f>
        <v>93171</v>
      </c>
      <c r="P59" s="466">
        <f>P35-P31-930</f>
        <v>87147</v>
      </c>
      <c r="Q59" s="424">
        <f>Q35-930</f>
        <v>103084</v>
      </c>
      <c r="R59" s="466">
        <f>R35-R31-930</f>
        <v>138302</v>
      </c>
      <c r="S59" s="466">
        <f>S35-S31-930</f>
        <v>141951</v>
      </c>
      <c r="T59" s="466">
        <f>T35-T31-1827</f>
        <v>95491</v>
      </c>
      <c r="U59" s="424">
        <f>U35-U31-1439</f>
        <v>93041</v>
      </c>
      <c r="V59" s="466">
        <v>92777</v>
      </c>
      <c r="W59" s="466">
        <v>106520</v>
      </c>
      <c r="X59" s="466">
        <v>75672</v>
      </c>
      <c r="Y59" s="424">
        <v>78767</v>
      </c>
      <c r="Z59" s="466">
        <v>65881</v>
      </c>
      <c r="AA59" s="466">
        <v>72055</v>
      </c>
      <c r="AB59" s="466">
        <v>76728</v>
      </c>
      <c r="AC59" s="424">
        <v>96729</v>
      </c>
      <c r="AD59" s="212">
        <v>87577</v>
      </c>
      <c r="AE59" s="212">
        <v>104907</v>
      </c>
      <c r="AF59" s="212">
        <v>95426</v>
      </c>
      <c r="AG59" s="212">
        <v>125313</v>
      </c>
      <c r="AH59" s="161">
        <v>118739</v>
      </c>
      <c r="AI59" s="216">
        <v>106957</v>
      </c>
      <c r="AJ59" s="216">
        <v>92702</v>
      </c>
      <c r="AK59" s="216">
        <v>112876</v>
      </c>
      <c r="AL59" s="89"/>
      <c r="AM59" s="380">
        <f>SUM(K59:M59)</f>
        <v>254939</v>
      </c>
      <c r="AN59" s="380">
        <f>SUM(O59:Q59)</f>
        <v>283402</v>
      </c>
      <c r="AO59" s="153">
        <f>AR59-AS59</f>
        <v>-52287</v>
      </c>
      <c r="AP59" s="45">
        <f>IF(OR((AO59/AS59)&gt;3,(AO59/AS59)&lt;-3),"n.m.",(AO59/AS59))</f>
        <v>-0.13214165670513964</v>
      </c>
      <c r="AQ59" s="83"/>
      <c r="AR59" s="179">
        <f>SUM(J59:M59)</f>
        <v>343402</v>
      </c>
      <c r="AS59" s="179">
        <f>SUM(N59:Q59)</f>
        <v>395689</v>
      </c>
      <c r="AT59" s="179">
        <f>SUM(R59:U59)</f>
        <v>468785</v>
      </c>
      <c r="AU59" s="179">
        <v>353736</v>
      </c>
      <c r="AV59" s="179">
        <v>311393</v>
      </c>
      <c r="AW59" s="161">
        <v>413223</v>
      </c>
      <c r="AX59" s="161">
        <v>431274</v>
      </c>
      <c r="AY59" s="43">
        <v>363542</v>
      </c>
      <c r="AZ59" s="43">
        <v>274358</v>
      </c>
      <c r="BA59" s="43">
        <v>271025</v>
      </c>
      <c r="BB59" s="164"/>
      <c r="BC59" s="148"/>
      <c r="BG59" s="3"/>
    </row>
    <row r="60" spans="1:59" ht="12.75">
      <c r="A60" s="83"/>
      <c r="B60" s="546" t="s">
        <v>82</v>
      </c>
      <c r="C60" s="154" t="e">
        <f>I60-M60</f>
        <v>#REF!</v>
      </c>
      <c r="D60" s="155" t="e">
        <f>IF(OR((C60/M60)&gt;3,(C60/M60)&lt;-3),"n.m.",(C60/M60))</f>
        <v>#REF!</v>
      </c>
      <c r="E60" s="606"/>
      <c r="F60" s="474" t="e">
        <f aca="true" t="shared" si="35" ref="F60:M60">+F58-F59</f>
        <v>#REF!</v>
      </c>
      <c r="G60" s="474" t="e">
        <f t="shared" si="35"/>
        <v>#REF!</v>
      </c>
      <c r="H60" s="474" t="e">
        <f t="shared" si="35"/>
        <v>#REF!</v>
      </c>
      <c r="I60" s="427" t="e">
        <f t="shared" si="35"/>
        <v>#REF!</v>
      </c>
      <c r="J60" s="474" t="e">
        <f t="shared" si="35"/>
        <v>#REF!</v>
      </c>
      <c r="K60" s="474" t="e">
        <f t="shared" si="35"/>
        <v>#REF!</v>
      </c>
      <c r="L60" s="474" t="e">
        <f t="shared" si="35"/>
        <v>#REF!</v>
      </c>
      <c r="M60" s="427" t="e">
        <f t="shared" si="35"/>
        <v>#REF!</v>
      </c>
      <c r="N60" s="474" t="e">
        <f aca="true" t="shared" si="36" ref="N60:U60">N58-N59</f>
        <v>#REF!</v>
      </c>
      <c r="O60" s="474" t="e">
        <f>O58-O59</f>
        <v>#REF!</v>
      </c>
      <c r="P60" s="474" t="e">
        <f>P58-P59</f>
        <v>#REF!</v>
      </c>
      <c r="Q60" s="427" t="e">
        <f t="shared" si="36"/>
        <v>#REF!</v>
      </c>
      <c r="R60" s="474" t="e">
        <f t="shared" si="36"/>
        <v>#REF!</v>
      </c>
      <c r="S60" s="474" t="e">
        <f t="shared" si="36"/>
        <v>#REF!</v>
      </c>
      <c r="T60" s="474" t="e">
        <f t="shared" si="36"/>
        <v>#REF!</v>
      </c>
      <c r="U60" s="427">
        <f t="shared" si="36"/>
        <v>15877</v>
      </c>
      <c r="V60" s="474">
        <v>5245</v>
      </c>
      <c r="W60" s="474">
        <v>17106</v>
      </c>
      <c r="X60" s="474">
        <v>3518</v>
      </c>
      <c r="Y60" s="427">
        <v>9167</v>
      </c>
      <c r="Z60" s="474">
        <v>6903</v>
      </c>
      <c r="AA60" s="474">
        <v>-14148</v>
      </c>
      <c r="AB60" s="474">
        <v>4047</v>
      </c>
      <c r="AC60" s="474">
        <v>12169</v>
      </c>
      <c r="AD60" s="483">
        <v>16860</v>
      </c>
      <c r="AE60" s="474">
        <v>20223</v>
      </c>
      <c r="AF60" s="474">
        <v>21932</v>
      </c>
      <c r="AG60" s="474">
        <v>36828</v>
      </c>
      <c r="AH60" s="483">
        <v>34885</v>
      </c>
      <c r="AI60" s="219">
        <v>27748</v>
      </c>
      <c r="AJ60" s="219">
        <v>15706</v>
      </c>
      <c r="AK60" s="219">
        <v>20374</v>
      </c>
      <c r="AL60" s="89"/>
      <c r="AM60" s="229" t="e">
        <f>AM58-AM59</f>
        <v>#REF!</v>
      </c>
      <c r="AN60" s="388" t="e">
        <f>AN58-AN59</f>
        <v>#REF!</v>
      </c>
      <c r="AO60" s="393" t="e">
        <f>AR60-AS60</f>
        <v>#REF!</v>
      </c>
      <c r="AP60" s="552" t="e">
        <f>IF(OR((AO60/AS60)&gt;3,(AO60/AS60)&lt;-3),"n.m.",(AO60/AS60))</f>
        <v>#REF!</v>
      </c>
      <c r="AQ60" s="83"/>
      <c r="AR60" s="198" t="e">
        <f>SUM(J60:M60)</f>
        <v>#REF!</v>
      </c>
      <c r="AS60" s="198" t="e">
        <f>AS58-AS59</f>
        <v>#REF!</v>
      </c>
      <c r="AT60" s="198" t="e">
        <f>SUM(R60:U60)</f>
        <v>#REF!</v>
      </c>
      <c r="AU60" s="198">
        <v>35036</v>
      </c>
      <c r="AV60" s="198">
        <v>8971</v>
      </c>
      <c r="AW60" s="428">
        <v>95843</v>
      </c>
      <c r="AX60" s="428">
        <v>99218</v>
      </c>
      <c r="AY60" s="428">
        <f>AY58-AY59</f>
        <v>74012</v>
      </c>
      <c r="AZ60" s="428">
        <f>AZ58-AZ59</f>
        <v>42330</v>
      </c>
      <c r="BA60" s="160">
        <v>46643</v>
      </c>
      <c r="BB60" s="164"/>
      <c r="BC60" s="148"/>
      <c r="BG60" s="3"/>
    </row>
    <row r="61" spans="1:59" ht="12.75" customHeight="1">
      <c r="A61" s="83"/>
      <c r="B61" s="83"/>
      <c r="C61" s="153"/>
      <c r="D61" s="11"/>
      <c r="E61" s="11"/>
      <c r="F61" s="11"/>
      <c r="G61" s="11"/>
      <c r="H61" s="11"/>
      <c r="I61" s="148"/>
      <c r="J61" s="11"/>
      <c r="K61" s="11"/>
      <c r="L61" s="11"/>
      <c r="M61" s="148"/>
      <c r="N61" s="11"/>
      <c r="O61" s="11"/>
      <c r="P61" s="11"/>
      <c r="Q61" s="148"/>
      <c r="R61" s="11"/>
      <c r="S61" s="11"/>
      <c r="T61" s="11"/>
      <c r="U61" s="148"/>
      <c r="V61" s="11"/>
      <c r="W61" s="11"/>
      <c r="X61" s="11"/>
      <c r="Y61" s="148"/>
      <c r="Z61" s="11"/>
      <c r="AA61" s="11"/>
      <c r="AB61" s="11"/>
      <c r="AC61" s="148"/>
      <c r="AD61" s="83"/>
      <c r="AE61" s="83"/>
      <c r="AF61" s="83"/>
      <c r="AG61" s="83"/>
      <c r="AH61" s="83"/>
      <c r="AI61" s="83"/>
      <c r="AJ61" s="83"/>
      <c r="AK61" s="83"/>
      <c r="AL61" s="148"/>
      <c r="AM61" s="148"/>
      <c r="AN61" s="148"/>
      <c r="AO61" s="153"/>
      <c r="AP61" s="11"/>
      <c r="AQ61" s="148"/>
      <c r="AR61" s="148"/>
      <c r="AS61" s="148"/>
      <c r="AT61" s="148"/>
      <c r="AU61" s="148"/>
      <c r="AV61" s="148"/>
      <c r="AW61" s="83"/>
      <c r="AX61" s="83"/>
      <c r="AY61" s="352"/>
      <c r="AZ61" s="352"/>
      <c r="BA61" s="352"/>
      <c r="BB61" s="148"/>
      <c r="BC61" s="148"/>
      <c r="BG61" s="3"/>
    </row>
    <row r="62" spans="1:59" ht="12.75" customHeight="1">
      <c r="A62" s="83"/>
      <c r="B62" s="145" t="s">
        <v>85</v>
      </c>
      <c r="C62" s="208" t="e">
        <f>(I62-M62)*100</f>
        <v>#REF!</v>
      </c>
      <c r="D62" s="11"/>
      <c r="E62" s="11"/>
      <c r="F62" s="11" t="e">
        <f aca="true" t="shared" si="37" ref="F62:K62">(F59-F20-F21)/F16</f>
        <v>#REF!</v>
      </c>
      <c r="G62" s="11" t="e">
        <f t="shared" si="37"/>
        <v>#REF!</v>
      </c>
      <c r="H62" s="11" t="e">
        <f t="shared" si="37"/>
        <v>#REF!</v>
      </c>
      <c r="I62" s="11" t="e">
        <f t="shared" si="37"/>
        <v>#REF!</v>
      </c>
      <c r="J62" s="11" t="e">
        <f t="shared" si="37"/>
        <v>#REF!</v>
      </c>
      <c r="K62" s="11" t="e">
        <f t="shared" si="37"/>
        <v>#REF!</v>
      </c>
      <c r="L62" s="11" t="e">
        <f aca="true" t="shared" si="38" ref="L62:U62">(L59-L20-L21)/L16</f>
        <v>#REF!</v>
      </c>
      <c r="M62" s="11" t="e">
        <f t="shared" si="38"/>
        <v>#REF!</v>
      </c>
      <c r="N62" s="11" t="e">
        <f t="shared" si="38"/>
        <v>#REF!</v>
      </c>
      <c r="O62" s="11" t="e">
        <f t="shared" si="38"/>
        <v>#REF!</v>
      </c>
      <c r="P62" s="11" t="e">
        <f t="shared" si="38"/>
        <v>#REF!</v>
      </c>
      <c r="Q62" s="11" t="e">
        <f t="shared" si="38"/>
        <v>#REF!</v>
      </c>
      <c r="R62" s="11" t="e">
        <f t="shared" si="38"/>
        <v>#REF!</v>
      </c>
      <c r="S62" s="11" t="e">
        <f t="shared" si="38"/>
        <v>#REF!</v>
      </c>
      <c r="T62" s="11" t="e">
        <f t="shared" si="38"/>
        <v>#REF!</v>
      </c>
      <c r="U62" s="11">
        <f t="shared" si="38"/>
        <v>0.27150700527001964</v>
      </c>
      <c r="V62" s="11">
        <v>0.31398053498194284</v>
      </c>
      <c r="W62" s="11">
        <v>0.23753094009350784</v>
      </c>
      <c r="X62" s="11">
        <v>0.3192574820053037</v>
      </c>
      <c r="Y62" s="11">
        <v>0.27244296859007894</v>
      </c>
      <c r="Z62" s="11">
        <v>0.3350049461420092</v>
      </c>
      <c r="AA62" s="11">
        <v>0.5806858644173264</v>
      </c>
      <c r="AB62" s="11">
        <v>0.3657585139318885</v>
      </c>
      <c r="AC62" s="11">
        <v>0.2922812689432209</v>
      </c>
      <c r="AD62" s="35">
        <v>0.31506560674264916</v>
      </c>
      <c r="AE62" s="35">
        <v>0.28772521622356156</v>
      </c>
      <c r="AF62" s="35">
        <v>0.27809848646344065</v>
      </c>
      <c r="AG62" s="35">
        <v>0.21399999999999997</v>
      </c>
      <c r="AH62" s="35">
        <v>0.19700000000000006</v>
      </c>
      <c r="AI62" s="35">
        <v>0.2230000000000001</v>
      </c>
      <c r="AJ62" s="35">
        <v>0.28700000000000003</v>
      </c>
      <c r="AK62" s="35">
        <v>0.281</v>
      </c>
      <c r="AL62" s="148"/>
      <c r="AM62" s="11" t="e">
        <f>(AM59-AM20-AM21)/AM16</f>
        <v>#REF!</v>
      </c>
      <c r="AN62" s="11" t="e">
        <f>(AN59-AN20-AN21)/AN16</f>
        <v>#REF!</v>
      </c>
      <c r="AO62" s="162" t="e">
        <f>(AR62-AS62)*100</f>
        <v>#REF!</v>
      </c>
      <c r="AP62" s="11"/>
      <c r="AQ62" s="148"/>
      <c r="AR62" s="11" t="e">
        <f>(AR59-AR20-AR21)/AR16</f>
        <v>#REF!</v>
      </c>
      <c r="AS62" s="11" t="e">
        <f>(AS59-AS20-AS21)/AS16</f>
        <v>#REF!</v>
      </c>
      <c r="AT62" s="11">
        <f>(AT59-AT20-AT21)/AT16</f>
        <v>0.22322222147969448</v>
      </c>
      <c r="AU62" s="35">
        <v>0.28134999434115626</v>
      </c>
      <c r="AV62" s="35">
        <v>0.3725012797942341</v>
      </c>
      <c r="AW62" s="35">
        <v>0.26781362993240054</v>
      </c>
      <c r="AX62" s="35">
        <v>0.243</v>
      </c>
      <c r="AY62" s="358">
        <v>0.24</v>
      </c>
      <c r="AZ62" s="358">
        <v>0.262</v>
      </c>
      <c r="BA62" s="358">
        <v>0.235</v>
      </c>
      <c r="BB62" s="148"/>
      <c r="BC62" s="148"/>
      <c r="BG62" s="3"/>
    </row>
    <row r="63" spans="1:59" ht="12.75" customHeight="1">
      <c r="A63" s="83"/>
      <c r="B63" s="145" t="s">
        <v>86</v>
      </c>
      <c r="C63" s="208" t="e">
        <f>(I63-M63)*100</f>
        <v>#REF!</v>
      </c>
      <c r="D63" s="11"/>
      <c r="E63" s="11"/>
      <c r="F63" s="11" t="e">
        <f aca="true" t="shared" si="39" ref="F63:K63">F59/F58</f>
        <v>#REF!</v>
      </c>
      <c r="G63" s="11" t="e">
        <f t="shared" si="39"/>
        <v>#REF!</v>
      </c>
      <c r="H63" s="11" t="e">
        <f t="shared" si="39"/>
        <v>#REF!</v>
      </c>
      <c r="I63" s="11" t="e">
        <f t="shared" si="39"/>
        <v>#REF!</v>
      </c>
      <c r="J63" s="11" t="e">
        <f t="shared" si="39"/>
        <v>#REF!</v>
      </c>
      <c r="K63" s="11" t="e">
        <f t="shared" si="39"/>
        <v>#REF!</v>
      </c>
      <c r="L63" s="11" t="e">
        <f aca="true" t="shared" si="40" ref="L63:Q63">L59/L58</f>
        <v>#REF!</v>
      </c>
      <c r="M63" s="11" t="e">
        <f t="shared" si="40"/>
        <v>#REF!</v>
      </c>
      <c r="N63" s="11" t="e">
        <f t="shared" si="40"/>
        <v>#REF!</v>
      </c>
      <c r="O63" s="11" t="e">
        <f t="shared" si="40"/>
        <v>#REF!</v>
      </c>
      <c r="P63" s="11" t="e">
        <f t="shared" si="40"/>
        <v>#REF!</v>
      </c>
      <c r="Q63" s="11" t="e">
        <f t="shared" si="40"/>
        <v>#REF!</v>
      </c>
      <c r="R63" s="11" t="e">
        <f>R59/R58</f>
        <v>#REF!</v>
      </c>
      <c r="S63" s="11" t="e">
        <f>S59/S58</f>
        <v>#REF!</v>
      </c>
      <c r="T63" s="11" t="e">
        <f>T59/T58</f>
        <v>#REF!</v>
      </c>
      <c r="U63" s="11">
        <f>U59/U58</f>
        <v>0.8542297875465947</v>
      </c>
      <c r="V63" s="11">
        <v>0.9464916039256493</v>
      </c>
      <c r="W63" s="11">
        <v>0.8616310484849465</v>
      </c>
      <c r="X63" s="11">
        <v>0.9555751988887485</v>
      </c>
      <c r="Y63" s="11">
        <v>0.8947513589737758</v>
      </c>
      <c r="Z63" s="11">
        <v>0.905157726972961</v>
      </c>
      <c r="AA63" s="11">
        <v>1.2454627164932417</v>
      </c>
      <c r="AB63" s="11">
        <v>0.9501919504643963</v>
      </c>
      <c r="AC63" s="11">
        <v>0.8884163926596741</v>
      </c>
      <c r="AD63" s="35">
        <v>0.8387798103629921</v>
      </c>
      <c r="AE63" s="35">
        <v>0.8385717254720149</v>
      </c>
      <c r="AF63" s="35">
        <v>0.8136943082498401</v>
      </c>
      <c r="AG63" s="35">
        <v>0.773</v>
      </c>
      <c r="AH63" s="35">
        <v>0.773</v>
      </c>
      <c r="AI63" s="35">
        <v>0.794</v>
      </c>
      <c r="AJ63" s="35">
        <v>0.855</v>
      </c>
      <c r="AK63" s="35">
        <v>0.847</v>
      </c>
      <c r="AL63" s="148"/>
      <c r="AM63" s="11" t="e">
        <f>AM59/AM58</f>
        <v>#REF!</v>
      </c>
      <c r="AN63" s="11" t="e">
        <f>AN59/AN58</f>
        <v>#REF!</v>
      </c>
      <c r="AO63" s="162" t="e">
        <f>(AR63-AS63)*100</f>
        <v>#REF!</v>
      </c>
      <c r="AP63" s="11"/>
      <c r="AQ63" s="148"/>
      <c r="AR63" s="11" t="e">
        <f>AR59/AR58</f>
        <v>#REF!</v>
      </c>
      <c r="AS63" s="11" t="e">
        <f>AS59/AS58</f>
        <v>#REF!</v>
      </c>
      <c r="AT63" s="11" t="e">
        <f>AT59/AT58</f>
        <v>#REF!</v>
      </c>
      <c r="AU63" s="35">
        <v>0.9088803411768337</v>
      </c>
      <c r="AV63" s="35">
        <v>0.9719974778689241</v>
      </c>
      <c r="AW63" s="35">
        <v>0.8120244458418487</v>
      </c>
      <c r="AX63" s="35">
        <v>0.814</v>
      </c>
      <c r="AY63" s="358">
        <v>0.831</v>
      </c>
      <c r="AZ63" s="358">
        <v>0.866</v>
      </c>
      <c r="BA63" s="358">
        <v>0.853</v>
      </c>
      <c r="BB63" s="148"/>
      <c r="BC63" s="148"/>
      <c r="BG63" s="3"/>
    </row>
    <row r="64" spans="1:55" ht="12.75" customHeight="1">
      <c r="A64" s="83"/>
      <c r="B64" s="145" t="s">
        <v>87</v>
      </c>
      <c r="C64" s="208" t="e">
        <f>(I64-M64)*100</f>
        <v>#REF!</v>
      </c>
      <c r="D64" s="11"/>
      <c r="E64" s="11"/>
      <c r="F64" s="11" t="e">
        <f aca="true" t="shared" si="41" ref="F64:K64">F60/F58</f>
        <v>#REF!</v>
      </c>
      <c r="G64" s="11" t="e">
        <f t="shared" si="41"/>
        <v>#REF!</v>
      </c>
      <c r="H64" s="11" t="e">
        <f t="shared" si="41"/>
        <v>#REF!</v>
      </c>
      <c r="I64" s="11" t="e">
        <f t="shared" si="41"/>
        <v>#REF!</v>
      </c>
      <c r="J64" s="11" t="e">
        <f t="shared" si="41"/>
        <v>#REF!</v>
      </c>
      <c r="K64" s="11" t="e">
        <f t="shared" si="41"/>
        <v>#REF!</v>
      </c>
      <c r="L64" s="11" t="e">
        <f aca="true" t="shared" si="42" ref="L64:Q64">L60/L58</f>
        <v>#REF!</v>
      </c>
      <c r="M64" s="11" t="e">
        <f t="shared" si="42"/>
        <v>#REF!</v>
      </c>
      <c r="N64" s="11" t="e">
        <f t="shared" si="42"/>
        <v>#REF!</v>
      </c>
      <c r="O64" s="11" t="e">
        <f t="shared" si="42"/>
        <v>#REF!</v>
      </c>
      <c r="P64" s="11" t="e">
        <f t="shared" si="42"/>
        <v>#REF!</v>
      </c>
      <c r="Q64" s="11" t="e">
        <f t="shared" si="42"/>
        <v>#REF!</v>
      </c>
      <c r="R64" s="11" t="e">
        <f>R60/R58</f>
        <v>#REF!</v>
      </c>
      <c r="S64" s="11" t="e">
        <f>S60/S58</f>
        <v>#REF!</v>
      </c>
      <c r="T64" s="11" t="e">
        <f>T60/T58</f>
        <v>#REF!</v>
      </c>
      <c r="U64" s="11">
        <f>U60/U58</f>
        <v>0.14577021245340532</v>
      </c>
      <c r="V64" s="11">
        <v>0.05350839607435066</v>
      </c>
      <c r="W64" s="11">
        <v>0.13836895151505346</v>
      </c>
      <c r="X64" s="11">
        <v>0.04442480111125142</v>
      </c>
      <c r="Y64" s="11">
        <v>0.10424864102622422</v>
      </c>
      <c r="Z64" s="11">
        <v>0.0948422730270389</v>
      </c>
      <c r="AA64" s="11">
        <v>-0.2454627164932416</v>
      </c>
      <c r="AB64" s="11">
        <v>0.049808049535603714</v>
      </c>
      <c r="AC64" s="11">
        <v>0.11158360734032587</v>
      </c>
      <c r="AD64" s="35">
        <v>0.16122018963700796</v>
      </c>
      <c r="AE64" s="35">
        <v>0.16142827452798517</v>
      </c>
      <c r="AF64" s="35">
        <v>0.18630569175015987</v>
      </c>
      <c r="AG64" s="35">
        <v>0.22699999999999998</v>
      </c>
      <c r="AH64" s="35">
        <v>0.22699999999999998</v>
      </c>
      <c r="AI64" s="35">
        <v>0.20599999999999996</v>
      </c>
      <c r="AJ64" s="35">
        <v>0.145</v>
      </c>
      <c r="AK64" s="35">
        <v>0.15300000000000002</v>
      </c>
      <c r="AL64" s="148"/>
      <c r="AM64" s="11" t="e">
        <f>AM60/AM58</f>
        <v>#REF!</v>
      </c>
      <c r="AN64" s="11" t="e">
        <f>AN60/AN58</f>
        <v>#REF!</v>
      </c>
      <c r="AO64" s="162" t="e">
        <f>(AR64-AS64)*100</f>
        <v>#REF!</v>
      </c>
      <c r="AP64" s="11"/>
      <c r="AQ64" s="148"/>
      <c r="AR64" s="11" t="e">
        <f>AR60/AR58</f>
        <v>#REF!</v>
      </c>
      <c r="AS64" s="11" t="e">
        <f>AS60/AS58</f>
        <v>#REF!</v>
      </c>
      <c r="AT64" s="11" t="e">
        <f>AT60/AT58</f>
        <v>#REF!</v>
      </c>
      <c r="AU64" s="35">
        <v>0.09011965882316628</v>
      </c>
      <c r="AV64" s="35">
        <v>0.028002522131075902</v>
      </c>
      <c r="AW64" s="35">
        <v>0.18797555415815123</v>
      </c>
      <c r="AX64" s="35">
        <v>0.18600000000000005</v>
      </c>
      <c r="AY64" s="358">
        <v>0.16900000000000004</v>
      </c>
      <c r="AZ64" s="358">
        <v>0.134</v>
      </c>
      <c r="BA64" s="358">
        <v>0.14700000000000002</v>
      </c>
      <c r="BB64" s="148"/>
      <c r="BC64" s="148"/>
    </row>
    <row r="65" spans="1:55" ht="12.75" customHeight="1">
      <c r="A65" s="83"/>
      <c r="B65" s="145"/>
      <c r="C65" s="208"/>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35"/>
      <c r="AE65" s="35"/>
      <c r="AF65" s="35"/>
      <c r="AG65" s="35"/>
      <c r="AH65" s="35"/>
      <c r="AI65" s="35"/>
      <c r="AJ65" s="35"/>
      <c r="AK65" s="35"/>
      <c r="AL65" s="148"/>
      <c r="AM65" s="148"/>
      <c r="AN65" s="148"/>
      <c r="AO65" s="208"/>
      <c r="AP65" s="11"/>
      <c r="AQ65" s="148"/>
      <c r="AR65" s="35"/>
      <c r="AS65" s="35"/>
      <c r="AT65" s="35"/>
      <c r="AU65" s="35"/>
      <c r="AV65" s="35"/>
      <c r="AW65" s="35"/>
      <c r="AX65" s="35"/>
      <c r="AY65" s="358"/>
      <c r="AZ65" s="358"/>
      <c r="BA65" s="358"/>
      <c r="BB65" s="148"/>
      <c r="BC65" s="148"/>
    </row>
    <row r="66" spans="1:55" ht="12.75" customHeight="1">
      <c r="A66" s="12" t="s">
        <v>227</v>
      </c>
      <c r="B66" s="145"/>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468"/>
      <c r="AA66" s="148"/>
      <c r="AB66" s="148"/>
      <c r="AC66" s="148"/>
      <c r="AD66" s="148"/>
      <c r="AE66" s="148"/>
      <c r="AF66" s="148"/>
      <c r="AG66" s="7"/>
      <c r="AH66" s="148"/>
      <c r="AI66" s="7"/>
      <c r="AJ66" s="7"/>
      <c r="AK66" s="148"/>
      <c r="AL66" s="148"/>
      <c r="AM66" s="148"/>
      <c r="AN66" s="148"/>
      <c r="AO66" s="148"/>
      <c r="AP66" s="148"/>
      <c r="AQ66" s="148"/>
      <c r="AR66" s="148"/>
      <c r="AS66" s="148"/>
      <c r="AT66" s="148"/>
      <c r="AU66" s="148"/>
      <c r="AV66" s="148"/>
      <c r="AW66" s="148"/>
      <c r="AX66" s="148"/>
      <c r="AY66" s="31"/>
      <c r="AZ66" s="358"/>
      <c r="BA66" s="358"/>
      <c r="BB66" s="148"/>
      <c r="BC66" s="148"/>
    </row>
    <row r="67" spans="3:55" ht="12.75" customHeight="1">
      <c r="C67" s="1437" t="s">
        <v>428</v>
      </c>
      <c r="D67" s="1438"/>
      <c r="E67" s="259"/>
      <c r="F67" s="477"/>
      <c r="G67" s="477"/>
      <c r="H67" s="477"/>
      <c r="I67" s="19"/>
      <c r="J67" s="477"/>
      <c r="K67" s="477"/>
      <c r="L67" s="477"/>
      <c r="M67" s="19"/>
      <c r="N67" s="17"/>
      <c r="O67" s="18"/>
      <c r="P67" s="477"/>
      <c r="Q67" s="19"/>
      <c r="R67" s="17"/>
      <c r="S67" s="18"/>
      <c r="T67" s="477"/>
      <c r="U67" s="19"/>
      <c r="W67" s="18"/>
      <c r="X67" s="2"/>
      <c r="Y67" s="19"/>
      <c r="Z67" s="18"/>
      <c r="AB67" s="477"/>
      <c r="AC67" s="19"/>
      <c r="AD67" s="18"/>
      <c r="AE67" s="18"/>
      <c r="AF67" s="18"/>
      <c r="AG67" s="18"/>
      <c r="AH67" s="22"/>
      <c r="AI67" s="19"/>
      <c r="AJ67" s="19"/>
      <c r="AK67" s="19"/>
      <c r="AL67" s="24"/>
      <c r="AM67" s="725" t="s">
        <v>406</v>
      </c>
      <c r="AN67" s="711"/>
      <c r="AO67" s="711" t="s">
        <v>386</v>
      </c>
      <c r="AP67" s="712"/>
      <c r="AQ67" s="148"/>
      <c r="AR67" s="88"/>
      <c r="AS67" s="88"/>
      <c r="AT67" s="88"/>
      <c r="AU67" s="88"/>
      <c r="AV67" s="88"/>
      <c r="AW67" s="194"/>
      <c r="AX67" s="194"/>
      <c r="AY67" s="88"/>
      <c r="AZ67" s="358"/>
      <c r="BA67" s="358"/>
      <c r="BB67" s="164"/>
      <c r="BC67" s="148"/>
    </row>
    <row r="68" spans="3:55" ht="12.75" customHeight="1">
      <c r="C68" s="1439" t="s">
        <v>41</v>
      </c>
      <c r="D68" s="1440"/>
      <c r="E68" s="603"/>
      <c r="F68" s="21" t="s">
        <v>431</v>
      </c>
      <c r="G68" s="21" t="s">
        <v>430</v>
      </c>
      <c r="H68" s="21" t="s">
        <v>429</v>
      </c>
      <c r="I68" s="14" t="s">
        <v>427</v>
      </c>
      <c r="J68" s="21" t="s">
        <v>362</v>
      </c>
      <c r="K68" s="21" t="s">
        <v>363</v>
      </c>
      <c r="L68" s="21" t="s">
        <v>364</v>
      </c>
      <c r="M68" s="14" t="s">
        <v>365</v>
      </c>
      <c r="N68" s="20" t="s">
        <v>277</v>
      </c>
      <c r="O68" s="21" t="s">
        <v>278</v>
      </c>
      <c r="P68" s="21" t="s">
        <v>279</v>
      </c>
      <c r="Q68" s="14" t="s">
        <v>276</v>
      </c>
      <c r="R68" s="20" t="s">
        <v>222</v>
      </c>
      <c r="S68" s="21" t="s">
        <v>223</v>
      </c>
      <c r="T68" s="21" t="s">
        <v>224</v>
      </c>
      <c r="U68" s="14" t="s">
        <v>225</v>
      </c>
      <c r="V68" s="21" t="s">
        <v>141</v>
      </c>
      <c r="W68" s="21" t="s">
        <v>140</v>
      </c>
      <c r="X68" s="21" t="s">
        <v>139</v>
      </c>
      <c r="Y68" s="14" t="s">
        <v>138</v>
      </c>
      <c r="Z68" s="21" t="s">
        <v>91</v>
      </c>
      <c r="AA68" s="21" t="s">
        <v>92</v>
      </c>
      <c r="AB68" s="21" t="s">
        <v>93</v>
      </c>
      <c r="AC68" s="14" t="s">
        <v>32</v>
      </c>
      <c r="AD68" s="21" t="s">
        <v>33</v>
      </c>
      <c r="AE68" s="21" t="s">
        <v>34</v>
      </c>
      <c r="AF68" s="21" t="s">
        <v>35</v>
      </c>
      <c r="AG68" s="21" t="s">
        <v>36</v>
      </c>
      <c r="AH68" s="23" t="s">
        <v>37</v>
      </c>
      <c r="AI68" s="14" t="s">
        <v>38</v>
      </c>
      <c r="AJ68" s="14" t="s">
        <v>39</v>
      </c>
      <c r="AK68" s="14" t="s">
        <v>40</v>
      </c>
      <c r="AL68" s="259"/>
      <c r="AM68" s="21" t="s">
        <v>363</v>
      </c>
      <c r="AN68" s="21" t="s">
        <v>278</v>
      </c>
      <c r="AO68" s="1461" t="s">
        <v>41</v>
      </c>
      <c r="AP68" s="1436"/>
      <c r="AQ68" s="148"/>
      <c r="AR68" s="20" t="s">
        <v>367</v>
      </c>
      <c r="AS68" s="20" t="s">
        <v>285</v>
      </c>
      <c r="AT68" s="20" t="s">
        <v>143</v>
      </c>
      <c r="AU68" s="20" t="s">
        <v>142</v>
      </c>
      <c r="AV68" s="20" t="s">
        <v>45</v>
      </c>
      <c r="AW68" s="23" t="s">
        <v>42</v>
      </c>
      <c r="AX68" s="23" t="s">
        <v>43</v>
      </c>
      <c r="AY68" s="23" t="s">
        <v>165</v>
      </c>
      <c r="AZ68" s="358"/>
      <c r="BA68" s="358"/>
      <c r="BB68" s="164"/>
      <c r="BC68" s="148"/>
    </row>
    <row r="69" spans="1:55" ht="12.75" customHeight="1">
      <c r="A69" s="83"/>
      <c r="B69" s="7" t="s">
        <v>407</v>
      </c>
      <c r="C69" s="84">
        <f aca="true" t="shared" si="43" ref="C69:C75">I69-M69</f>
        <v>-4681</v>
      </c>
      <c r="D69" s="45">
        <f aca="true" t="shared" si="44" ref="D69:D75">IF(OR((C69/M69)&gt;3,(C69/M69)&lt;-3),"n.m.",(C69/M69))</f>
        <v>-0.11540927021696253</v>
      </c>
      <c r="E69" s="89"/>
      <c r="F69" s="213"/>
      <c r="G69" s="213"/>
      <c r="H69" s="213"/>
      <c r="I69" s="168">
        <v>35879</v>
      </c>
      <c r="J69" s="213">
        <v>33903</v>
      </c>
      <c r="K69" s="213">
        <v>38555</v>
      </c>
      <c r="L69" s="213">
        <v>39686</v>
      </c>
      <c r="M69" s="168">
        <v>40560</v>
      </c>
      <c r="N69" s="213">
        <v>55318</v>
      </c>
      <c r="O69" s="213">
        <v>42584</v>
      </c>
      <c r="P69" s="213">
        <v>45125</v>
      </c>
      <c r="Q69" s="168">
        <v>44915</v>
      </c>
      <c r="R69" s="213">
        <v>61873</v>
      </c>
      <c r="S69" s="213">
        <v>67349</v>
      </c>
      <c r="T69" s="213">
        <v>44815</v>
      </c>
      <c r="U69" s="168">
        <v>44827</v>
      </c>
      <c r="V69" s="213">
        <v>49348</v>
      </c>
      <c r="W69" s="213">
        <v>47003</v>
      </c>
      <c r="X69" s="213">
        <v>43321</v>
      </c>
      <c r="Y69" s="168">
        <v>42012</v>
      </c>
      <c r="Z69" s="213">
        <v>35191</v>
      </c>
      <c r="AA69" s="213">
        <v>39059</v>
      </c>
      <c r="AB69" s="168">
        <v>44316</v>
      </c>
      <c r="AC69" s="168">
        <v>54791</v>
      </c>
      <c r="AD69" s="424">
        <v>29584</v>
      </c>
      <c r="AE69" s="148"/>
      <c r="AF69" s="148"/>
      <c r="AG69" s="7"/>
      <c r="AH69" s="148"/>
      <c r="AI69" s="7"/>
      <c r="AJ69" s="7"/>
      <c r="AK69" s="148"/>
      <c r="AL69" s="89"/>
      <c r="AM69" s="380">
        <f aca="true" t="shared" si="45" ref="AM69:AM74">SUM(K69:M69)</f>
        <v>118801</v>
      </c>
      <c r="AN69" s="380">
        <f aca="true" t="shared" si="46" ref="AN69:AN74">SUM(O69:Q69)</f>
        <v>132624</v>
      </c>
      <c r="AO69" s="609">
        <f aca="true" t="shared" si="47" ref="AO69:AO75">AR69-AS69</f>
        <v>-35238</v>
      </c>
      <c r="AP69" s="392">
        <f aca="true" t="shared" si="48" ref="AP69:AP75">IF(OR((AO69/AS69)&gt;3,(AO69/AS69)&lt;-3),"n.m.",(AO69/AS69))</f>
        <v>-0.1874940141107363</v>
      </c>
      <c r="AQ69" s="148"/>
      <c r="AR69" s="179">
        <f aca="true" t="shared" si="49" ref="AR69:AR74">SUM(J69:M69)</f>
        <v>152704</v>
      </c>
      <c r="AS69" s="201">
        <f aca="true" t="shared" si="50" ref="AS69:AS74">SUM(N69:Q69)</f>
        <v>187942</v>
      </c>
      <c r="AT69" s="43">
        <v>218864</v>
      </c>
      <c r="AU69" s="43">
        <v>181684</v>
      </c>
      <c r="AV69" s="43">
        <v>173357</v>
      </c>
      <c r="AW69" s="43">
        <v>234389</v>
      </c>
      <c r="AX69" s="43">
        <v>245369</v>
      </c>
      <c r="AY69" s="360">
        <v>203714</v>
      </c>
      <c r="AZ69" s="358"/>
      <c r="BA69" s="358"/>
      <c r="BB69" s="164"/>
      <c r="BC69" s="148"/>
    </row>
    <row r="70" spans="1:55" ht="12.75" customHeight="1">
      <c r="A70" s="83"/>
      <c r="B70" s="7" t="s">
        <v>70</v>
      </c>
      <c r="C70" s="84">
        <f t="shared" si="43"/>
        <v>-6612</v>
      </c>
      <c r="D70" s="45">
        <f t="shared" si="44"/>
        <v>-0.3537720706260032</v>
      </c>
      <c r="E70" s="89"/>
      <c r="F70" s="213"/>
      <c r="G70" s="213"/>
      <c r="H70" s="213"/>
      <c r="I70" s="168">
        <v>12078</v>
      </c>
      <c r="J70" s="213">
        <v>18076</v>
      </c>
      <c r="K70" s="213">
        <v>20205</v>
      </c>
      <c r="L70" s="213">
        <v>17189</v>
      </c>
      <c r="M70" s="168">
        <v>18690</v>
      </c>
      <c r="N70" s="213">
        <v>41150</v>
      </c>
      <c r="O70" s="213">
        <v>22843</v>
      </c>
      <c r="P70" s="213">
        <v>24217</v>
      </c>
      <c r="Q70" s="168">
        <v>46052</v>
      </c>
      <c r="R70" s="213">
        <v>75738</v>
      </c>
      <c r="S70" s="213">
        <v>91523</v>
      </c>
      <c r="T70" s="213">
        <v>41541</v>
      </c>
      <c r="U70" s="168">
        <v>41164</v>
      </c>
      <c r="V70" s="213">
        <v>34068</v>
      </c>
      <c r="W70" s="213">
        <v>56636</v>
      </c>
      <c r="X70" s="213">
        <v>22209</v>
      </c>
      <c r="Y70" s="168">
        <v>25318</v>
      </c>
      <c r="Z70" s="213">
        <v>21433</v>
      </c>
      <c r="AA70" s="213">
        <v>6245</v>
      </c>
      <c r="AB70" s="168">
        <v>17686</v>
      </c>
      <c r="AC70" s="168">
        <v>25366</v>
      </c>
      <c r="AD70" s="424">
        <v>68274</v>
      </c>
      <c r="AE70" s="148">
        <v>0</v>
      </c>
      <c r="AF70" s="148">
        <v>0</v>
      </c>
      <c r="AG70" s="7">
        <v>0</v>
      </c>
      <c r="AH70" s="148">
        <v>0</v>
      </c>
      <c r="AI70" s="7">
        <v>0</v>
      </c>
      <c r="AJ70" s="7">
        <v>0</v>
      </c>
      <c r="AK70" s="148">
        <v>0</v>
      </c>
      <c r="AL70" s="89"/>
      <c r="AM70" s="380">
        <f t="shared" si="45"/>
        <v>56084</v>
      </c>
      <c r="AN70" s="380">
        <f t="shared" si="46"/>
        <v>93112</v>
      </c>
      <c r="AO70" s="610">
        <f t="shared" si="47"/>
        <v>-60102</v>
      </c>
      <c r="AP70" s="45">
        <f t="shared" si="48"/>
        <v>-0.4476471376860169</v>
      </c>
      <c r="AQ70" s="148"/>
      <c r="AR70" s="179">
        <f t="shared" si="49"/>
        <v>74160</v>
      </c>
      <c r="AS70" s="201">
        <f t="shared" si="50"/>
        <v>134262</v>
      </c>
      <c r="AT70" s="43">
        <v>249966</v>
      </c>
      <c r="AU70" s="43">
        <v>138231</v>
      </c>
      <c r="AV70" s="43">
        <v>70730</v>
      </c>
      <c r="AW70" s="43">
        <v>170811</v>
      </c>
      <c r="AX70" s="43">
        <v>192313</v>
      </c>
      <c r="AY70" s="43">
        <f>157642-4636</f>
        <v>153006</v>
      </c>
      <c r="AZ70" s="358"/>
      <c r="BA70" s="358"/>
      <c r="BB70" s="164"/>
      <c r="BC70" s="148"/>
    </row>
    <row r="71" spans="1:55" ht="12.75" customHeight="1">
      <c r="A71" s="83"/>
      <c r="B71" s="7" t="s">
        <v>255</v>
      </c>
      <c r="C71" s="84">
        <f t="shared" si="43"/>
        <v>652</v>
      </c>
      <c r="D71" s="45">
        <f t="shared" si="44"/>
        <v>0.10253184462965875</v>
      </c>
      <c r="E71" s="89"/>
      <c r="F71" s="213"/>
      <c r="G71" s="213"/>
      <c r="H71" s="213"/>
      <c r="I71" s="168">
        <v>7011</v>
      </c>
      <c r="J71" s="213">
        <v>29706</v>
      </c>
      <c r="K71" s="213">
        <v>45232</v>
      </c>
      <c r="L71" s="213">
        <v>8690</v>
      </c>
      <c r="M71" s="168">
        <v>6359</v>
      </c>
      <c r="N71" s="213">
        <v>16761</v>
      </c>
      <c r="O71" s="213">
        <v>27819</v>
      </c>
      <c r="P71" s="213">
        <v>16445</v>
      </c>
      <c r="Q71" s="168">
        <v>17764</v>
      </c>
      <c r="R71" s="213">
        <v>19980</v>
      </c>
      <c r="S71" s="213">
        <v>19913</v>
      </c>
      <c r="T71" s="213">
        <v>8420</v>
      </c>
      <c r="U71" s="168">
        <v>14574</v>
      </c>
      <c r="V71" s="213">
        <v>1297</v>
      </c>
      <c r="W71" s="213">
        <v>1601</v>
      </c>
      <c r="X71" s="213">
        <v>1211</v>
      </c>
      <c r="Y71" s="168">
        <v>1444</v>
      </c>
      <c r="Z71" s="213">
        <v>2473</v>
      </c>
      <c r="AA71" s="213">
        <v>1215</v>
      </c>
      <c r="AB71" s="168">
        <v>2659</v>
      </c>
      <c r="AC71" s="168">
        <v>8562</v>
      </c>
      <c r="AD71" s="424"/>
      <c r="AE71" s="148"/>
      <c r="AF71" s="148"/>
      <c r="AG71" s="7"/>
      <c r="AH71" s="148"/>
      <c r="AI71" s="7"/>
      <c r="AJ71" s="7"/>
      <c r="AK71" s="148"/>
      <c r="AL71" s="89"/>
      <c r="AM71" s="380">
        <f t="shared" si="45"/>
        <v>60281</v>
      </c>
      <c r="AN71" s="380">
        <f t="shared" si="46"/>
        <v>62028</v>
      </c>
      <c r="AO71" s="610">
        <f t="shared" si="47"/>
        <v>11198</v>
      </c>
      <c r="AP71" s="45">
        <f>IF(OR((AO71/AS71)&gt;3,(AO71/AS71)&lt;-3),"n.m.",(AO71/AS71))</f>
        <v>0.14212643896990695</v>
      </c>
      <c r="AQ71" s="148"/>
      <c r="AR71" s="179">
        <f t="shared" si="49"/>
        <v>89987</v>
      </c>
      <c r="AS71" s="201">
        <f t="shared" si="50"/>
        <v>78789</v>
      </c>
      <c r="AT71" s="43">
        <v>62887</v>
      </c>
      <c r="AU71" s="43">
        <v>5553</v>
      </c>
      <c r="AV71" s="43">
        <v>14909</v>
      </c>
      <c r="AW71" s="43">
        <v>17584</v>
      </c>
      <c r="AX71" s="43">
        <v>12713</v>
      </c>
      <c r="AY71" s="43">
        <f>4636</f>
        <v>4636</v>
      </c>
      <c r="AZ71" s="358"/>
      <c r="BA71" s="358"/>
      <c r="BB71" s="164"/>
      <c r="BC71" s="148"/>
    </row>
    <row r="72" spans="1:55" ht="12.75" customHeight="1">
      <c r="A72" s="83"/>
      <c r="B72" s="7" t="s">
        <v>71</v>
      </c>
      <c r="C72" s="84">
        <f t="shared" si="43"/>
        <v>-505</v>
      </c>
      <c r="D72" s="45">
        <f t="shared" si="44"/>
        <v>-2.3488372093023258</v>
      </c>
      <c r="E72" s="89"/>
      <c r="F72" s="213"/>
      <c r="G72" s="213"/>
      <c r="H72" s="213"/>
      <c r="I72" s="168">
        <v>-290</v>
      </c>
      <c r="J72" s="213">
        <v>454</v>
      </c>
      <c r="K72" s="213">
        <v>561</v>
      </c>
      <c r="L72" s="213">
        <v>783</v>
      </c>
      <c r="M72" s="168">
        <v>215</v>
      </c>
      <c r="N72" s="213">
        <v>1747</v>
      </c>
      <c r="O72" s="213">
        <v>848</v>
      </c>
      <c r="P72" s="213">
        <v>-2929</v>
      </c>
      <c r="Q72" s="168">
        <v>-48</v>
      </c>
      <c r="R72" s="213">
        <v>6902</v>
      </c>
      <c r="S72" s="213">
        <v>3619</v>
      </c>
      <c r="T72" s="213">
        <v>2704</v>
      </c>
      <c r="U72" s="168">
        <v>1288</v>
      </c>
      <c r="V72" s="213">
        <v>3191</v>
      </c>
      <c r="W72" s="213">
        <v>9164</v>
      </c>
      <c r="X72" s="213">
        <v>3867</v>
      </c>
      <c r="Y72" s="168">
        <v>4913</v>
      </c>
      <c r="Z72" s="213">
        <v>3828</v>
      </c>
      <c r="AA72" s="213">
        <v>2161</v>
      </c>
      <c r="AB72" s="168">
        <v>1000</v>
      </c>
      <c r="AC72" s="168">
        <v>2684</v>
      </c>
      <c r="AD72" s="424">
        <v>5363</v>
      </c>
      <c r="AE72" s="148"/>
      <c r="AF72" s="148"/>
      <c r="AG72" s="7"/>
      <c r="AH72" s="148"/>
      <c r="AI72" s="7"/>
      <c r="AJ72" s="7"/>
      <c r="AK72" s="148"/>
      <c r="AL72" s="89"/>
      <c r="AM72" s="380">
        <f t="shared" si="45"/>
        <v>1559</v>
      </c>
      <c r="AN72" s="380">
        <f t="shared" si="46"/>
        <v>-2129</v>
      </c>
      <c r="AO72" s="610">
        <f t="shared" si="47"/>
        <v>2395</v>
      </c>
      <c r="AP72" s="554" t="str">
        <f t="shared" si="48"/>
        <v>n.m.</v>
      </c>
      <c r="AQ72" s="148"/>
      <c r="AR72" s="179">
        <f t="shared" si="49"/>
        <v>2013</v>
      </c>
      <c r="AS72" s="201">
        <f t="shared" si="50"/>
        <v>-382</v>
      </c>
      <c r="AT72" s="43">
        <v>14513</v>
      </c>
      <c r="AU72" s="43">
        <v>21135</v>
      </c>
      <c r="AV72" s="43">
        <v>9673</v>
      </c>
      <c r="AW72" s="43">
        <v>3820</v>
      </c>
      <c r="AX72" s="43">
        <v>14642</v>
      </c>
      <c r="AY72" s="43">
        <v>22208</v>
      </c>
      <c r="AZ72" s="358"/>
      <c r="BA72" s="358"/>
      <c r="BB72" s="164"/>
      <c r="BC72" s="148"/>
    </row>
    <row r="73" spans="1:55" ht="12.75" customHeight="1">
      <c r="A73" s="83"/>
      <c r="B73" s="7" t="s">
        <v>72</v>
      </c>
      <c r="C73" s="84">
        <f t="shared" si="43"/>
        <v>-2257</v>
      </c>
      <c r="D73" s="45">
        <f t="shared" si="44"/>
        <v>-0.29728661749209695</v>
      </c>
      <c r="E73" s="89"/>
      <c r="F73" s="213"/>
      <c r="G73" s="213"/>
      <c r="H73" s="213"/>
      <c r="I73" s="168">
        <v>5335</v>
      </c>
      <c r="J73" s="213">
        <v>5292</v>
      </c>
      <c r="K73" s="213">
        <v>6253</v>
      </c>
      <c r="L73" s="213">
        <v>5935</v>
      </c>
      <c r="M73" s="168">
        <v>7592</v>
      </c>
      <c r="N73" s="213">
        <v>7872</v>
      </c>
      <c r="O73" s="213">
        <v>8033</v>
      </c>
      <c r="P73" s="213">
        <v>7569</v>
      </c>
      <c r="Q73" s="168">
        <v>7780</v>
      </c>
      <c r="R73" s="213">
        <v>7586</v>
      </c>
      <c r="S73" s="213">
        <v>7687</v>
      </c>
      <c r="T73" s="213">
        <v>5362</v>
      </c>
      <c r="U73" s="168">
        <v>3079</v>
      </c>
      <c r="V73" s="213">
        <v>3272</v>
      </c>
      <c r="W73" s="213">
        <v>3852</v>
      </c>
      <c r="X73" s="213">
        <v>3893</v>
      </c>
      <c r="Y73" s="168">
        <v>3439</v>
      </c>
      <c r="Z73" s="213">
        <v>4918</v>
      </c>
      <c r="AA73" s="213">
        <v>8514</v>
      </c>
      <c r="AB73" s="168">
        <v>10813</v>
      </c>
      <c r="AC73" s="168">
        <v>11226</v>
      </c>
      <c r="AD73" s="424">
        <v>1512</v>
      </c>
      <c r="AE73" s="148"/>
      <c r="AF73" s="148"/>
      <c r="AG73" s="7"/>
      <c r="AH73" s="148"/>
      <c r="AI73" s="7"/>
      <c r="AJ73" s="7"/>
      <c r="AK73" s="148"/>
      <c r="AL73" s="89"/>
      <c r="AM73" s="380">
        <f t="shared" si="45"/>
        <v>19780</v>
      </c>
      <c r="AN73" s="380">
        <f t="shared" si="46"/>
        <v>23382</v>
      </c>
      <c r="AO73" s="610">
        <f t="shared" si="47"/>
        <v>-6182</v>
      </c>
      <c r="AP73" s="45">
        <f t="shared" si="48"/>
        <v>-0.1977986817687336</v>
      </c>
      <c r="AQ73" s="148"/>
      <c r="AR73" s="179">
        <f t="shared" si="49"/>
        <v>25072</v>
      </c>
      <c r="AS73" s="201">
        <f t="shared" si="50"/>
        <v>31254</v>
      </c>
      <c r="AT73" s="43">
        <v>23714</v>
      </c>
      <c r="AU73" s="43">
        <v>14456</v>
      </c>
      <c r="AV73" s="43">
        <v>35471</v>
      </c>
      <c r="AW73" s="43">
        <v>58127</v>
      </c>
      <c r="AX73" s="43">
        <v>52152</v>
      </c>
      <c r="AY73" s="43">
        <f>33277+8255</f>
        <v>41532</v>
      </c>
      <c r="AZ73" s="358"/>
      <c r="BA73" s="358"/>
      <c r="BB73" s="164"/>
      <c r="BC73" s="148"/>
    </row>
    <row r="74" spans="1:55" ht="12.75" customHeight="1">
      <c r="A74" s="193"/>
      <c r="B74" s="7" t="s">
        <v>73</v>
      </c>
      <c r="C74" s="84">
        <f t="shared" si="43"/>
        <v>-3349</v>
      </c>
      <c r="D74" s="554">
        <f t="shared" si="44"/>
        <v>-1.0384496124031009</v>
      </c>
      <c r="E74" s="608"/>
      <c r="F74" s="213"/>
      <c r="G74" s="213"/>
      <c r="H74" s="213"/>
      <c r="I74" s="168">
        <v>-124</v>
      </c>
      <c r="J74" s="213">
        <v>6169</v>
      </c>
      <c r="K74" s="213">
        <v>4664</v>
      </c>
      <c r="L74" s="213">
        <f>7506+939</f>
        <v>8445</v>
      </c>
      <c r="M74" s="168">
        <v>3225</v>
      </c>
      <c r="N74" s="213">
        <v>10006</v>
      </c>
      <c r="O74" s="213">
        <v>8317</v>
      </c>
      <c r="P74" s="213">
        <v>1316</v>
      </c>
      <c r="Q74" s="168">
        <v>6627</v>
      </c>
      <c r="R74" s="213">
        <v>11160</v>
      </c>
      <c r="S74" s="213">
        <v>6815</v>
      </c>
      <c r="T74" s="213">
        <v>6651</v>
      </c>
      <c r="U74" s="168">
        <v>3986</v>
      </c>
      <c r="V74" s="213">
        <v>6846</v>
      </c>
      <c r="W74" s="213">
        <v>5370</v>
      </c>
      <c r="X74" s="213">
        <v>4689</v>
      </c>
      <c r="Y74" s="168">
        <v>10808</v>
      </c>
      <c r="Z74" s="213">
        <v>4941</v>
      </c>
      <c r="AA74" s="213">
        <v>713</v>
      </c>
      <c r="AB74" s="168">
        <v>4301</v>
      </c>
      <c r="AC74" s="168">
        <v>6269</v>
      </c>
      <c r="AD74" s="426">
        <v>60</v>
      </c>
      <c r="AE74" s="15"/>
      <c r="AF74" s="15"/>
      <c r="AG74" s="15"/>
      <c r="AH74" s="15"/>
      <c r="AI74" s="15"/>
      <c r="AJ74" s="15"/>
      <c r="AK74" s="15"/>
      <c r="AL74" s="89"/>
      <c r="AM74" s="380">
        <f t="shared" si="45"/>
        <v>16334</v>
      </c>
      <c r="AN74" s="380">
        <f t="shared" si="46"/>
        <v>16260</v>
      </c>
      <c r="AO74" s="611">
        <f t="shared" si="47"/>
        <v>-3763</v>
      </c>
      <c r="AP74" s="155">
        <f t="shared" si="48"/>
        <v>-0.14326505748876875</v>
      </c>
      <c r="AQ74" s="83"/>
      <c r="AR74" s="179">
        <f t="shared" si="49"/>
        <v>22503</v>
      </c>
      <c r="AS74" s="201">
        <f t="shared" si="50"/>
        <v>26266</v>
      </c>
      <c r="AT74" s="43">
        <v>28612</v>
      </c>
      <c r="AU74" s="43">
        <v>27713</v>
      </c>
      <c r="AV74" s="43">
        <v>16224</v>
      </c>
      <c r="AW74" s="43">
        <v>24335</v>
      </c>
      <c r="AX74" s="43">
        <v>13303</v>
      </c>
      <c r="AY74" s="160">
        <v>12458</v>
      </c>
      <c r="AZ74" s="358"/>
      <c r="BA74" s="358"/>
      <c r="BB74" s="164"/>
      <c r="BC74" s="148"/>
    </row>
    <row r="75" spans="1:55" ht="12.75" customHeight="1">
      <c r="A75" s="193"/>
      <c r="B75" s="7"/>
      <c r="C75" s="578">
        <f t="shared" si="43"/>
        <v>-16752</v>
      </c>
      <c r="D75" s="579">
        <f t="shared" si="44"/>
        <v>-0.21857752377970016</v>
      </c>
      <c r="E75" s="24"/>
      <c r="F75" s="383">
        <f>SUM(F69:F74)</f>
        <v>0</v>
      </c>
      <c r="G75" s="383">
        <f>SUM(G69:G74)</f>
        <v>0</v>
      </c>
      <c r="H75" s="383">
        <f>SUM(H69:H74)</f>
        <v>0</v>
      </c>
      <c r="I75" s="581">
        <f>SUM(I69:I74)</f>
        <v>59889</v>
      </c>
      <c r="J75" s="383">
        <f aca="true" t="shared" si="51" ref="J75:P75">SUM(J69:J74)</f>
        <v>93600</v>
      </c>
      <c r="K75" s="383">
        <f t="shared" si="51"/>
        <v>115470</v>
      </c>
      <c r="L75" s="383">
        <f t="shared" si="51"/>
        <v>80728</v>
      </c>
      <c r="M75" s="581">
        <f t="shared" si="51"/>
        <v>76641</v>
      </c>
      <c r="N75" s="383">
        <f t="shared" si="51"/>
        <v>132854</v>
      </c>
      <c r="O75" s="383">
        <f t="shared" si="51"/>
        <v>110444</v>
      </c>
      <c r="P75" s="383">
        <f t="shared" si="51"/>
        <v>91743</v>
      </c>
      <c r="Q75" s="581">
        <f>SUM(Q69:Q74)</f>
        <v>123090</v>
      </c>
      <c r="R75" s="383">
        <v>183239</v>
      </c>
      <c r="S75" s="383">
        <v>196906</v>
      </c>
      <c r="T75" s="383">
        <v>109493</v>
      </c>
      <c r="U75" s="581">
        <v>108918</v>
      </c>
      <c r="V75" s="383">
        <v>98022</v>
      </c>
      <c r="W75" s="383">
        <v>123626</v>
      </c>
      <c r="X75" s="383">
        <v>79190</v>
      </c>
      <c r="Y75" s="581">
        <v>87934</v>
      </c>
      <c r="Z75" s="382">
        <v>72784</v>
      </c>
      <c r="AA75" s="383">
        <v>57907</v>
      </c>
      <c r="AB75" s="581">
        <v>80775</v>
      </c>
      <c r="AC75" s="581">
        <v>108898</v>
      </c>
      <c r="AD75" s="581">
        <v>104793</v>
      </c>
      <c r="AE75" s="2"/>
      <c r="AF75" s="2"/>
      <c r="AG75" s="2"/>
      <c r="AH75" s="2"/>
      <c r="AI75" s="2"/>
      <c r="AJ75" s="2"/>
      <c r="AK75" s="2"/>
      <c r="AL75" s="24"/>
      <c r="AM75" s="383">
        <f>SUM(AM69:AM74)</f>
        <v>272839</v>
      </c>
      <c r="AN75" s="383">
        <f>SUM(AN69:AN74)</f>
        <v>325277</v>
      </c>
      <c r="AO75" s="583">
        <f t="shared" si="47"/>
        <v>-91692</v>
      </c>
      <c r="AP75" s="579">
        <f t="shared" si="48"/>
        <v>-0.2001436270411738</v>
      </c>
      <c r="AR75" s="382">
        <f>SUM(AR69:AR74)</f>
        <v>366439</v>
      </c>
      <c r="AS75" s="382">
        <f>SUM(AS69:AS74)</f>
        <v>458131</v>
      </c>
      <c r="AT75" s="382">
        <v>598556</v>
      </c>
      <c r="AU75" s="382">
        <v>388772</v>
      </c>
      <c r="AV75" s="580">
        <v>320364</v>
      </c>
      <c r="AW75" s="584">
        <v>509066</v>
      </c>
      <c r="AX75" s="584">
        <v>530492</v>
      </c>
      <c r="AY75" s="173">
        <f>SUM(AY69:AY74)</f>
        <v>437554</v>
      </c>
      <c r="AZ75" s="358"/>
      <c r="BA75" s="358"/>
      <c r="BB75" s="164"/>
      <c r="BC75" s="148"/>
    </row>
    <row r="76" spans="1:54" ht="12.75" customHeight="1">
      <c r="A76" s="193"/>
      <c r="B76" s="7"/>
      <c r="C76" s="464"/>
      <c r="D76" s="392"/>
      <c r="E76" s="24"/>
      <c r="F76" s="390"/>
      <c r="G76" s="390"/>
      <c r="H76" s="390"/>
      <c r="I76" s="720"/>
      <c r="J76" s="390"/>
      <c r="K76" s="390"/>
      <c r="L76" s="390"/>
      <c r="M76" s="720"/>
      <c r="N76" s="230"/>
      <c r="O76" s="390"/>
      <c r="P76" s="390"/>
      <c r="Q76" s="720"/>
      <c r="R76" s="230"/>
      <c r="S76" s="390"/>
      <c r="T76" s="390"/>
      <c r="U76" s="702"/>
      <c r="V76" s="230"/>
      <c r="W76" s="702"/>
      <c r="X76" s="702"/>
      <c r="Y76" s="702"/>
      <c r="Z76" s="380"/>
      <c r="AA76" s="380"/>
      <c r="AB76" s="380"/>
      <c r="AC76" s="380"/>
      <c r="AD76" s="380"/>
      <c r="AE76" s="2"/>
      <c r="AF76" s="2"/>
      <c r="AG76" s="2"/>
      <c r="AH76" s="2"/>
      <c r="AI76" s="2"/>
      <c r="AJ76" s="2"/>
      <c r="AK76" s="2"/>
      <c r="AL76" s="24"/>
      <c r="AM76" s="17"/>
      <c r="AN76" s="18"/>
      <c r="AO76" s="721"/>
      <c r="AP76" s="539"/>
      <c r="AR76" s="703"/>
      <c r="AS76" s="703"/>
      <c r="AT76" s="703"/>
      <c r="AU76" s="703"/>
      <c r="AV76" s="505"/>
      <c r="AW76" s="703"/>
      <c r="AX76" s="703"/>
      <c r="AY76" s="213"/>
      <c r="AZ76" s="145"/>
      <c r="BA76" s="145"/>
      <c r="BB76" s="25"/>
    </row>
    <row r="77" spans="1:54" ht="13.5" customHeight="1">
      <c r="A77" s="193"/>
      <c r="B77" s="7" t="s">
        <v>388</v>
      </c>
      <c r="C77" s="154" t="e">
        <f>I77-M77</f>
        <v>#REF!</v>
      </c>
      <c r="D77" s="552" t="e">
        <f>IF(OR((C77/M77)&gt;3,(C77/M77)&lt;-3),"n.m.",(C77/M77))</f>
        <v>#REF!</v>
      </c>
      <c r="E77" s="24"/>
      <c r="F77" s="388"/>
      <c r="G77" s="388"/>
      <c r="H77" s="388"/>
      <c r="I77" s="470">
        <v>-1755</v>
      </c>
      <c r="J77" s="388">
        <v>-4119</v>
      </c>
      <c r="K77" s="388">
        <v>-2879</v>
      </c>
      <c r="L77" s="388">
        <v>-1302</v>
      </c>
      <c r="M77" s="470" t="e">
        <f>+#REF!-'8 UK and Europe'!M73-'9 US'!M72</f>
        <v>#REF!</v>
      </c>
      <c r="N77" s="229" t="e">
        <f>#REF!-'9 US'!N72</f>
        <v>#REF!</v>
      </c>
      <c r="O77" s="388" t="e">
        <f>#REF!-'9 US'!O72</f>
        <v>#REF!</v>
      </c>
      <c r="P77" s="388">
        <v>-6322</v>
      </c>
      <c r="Q77" s="470">
        <v>-10795</v>
      </c>
      <c r="R77" s="229">
        <v>-9261</v>
      </c>
      <c r="S77" s="388">
        <v>-1134</v>
      </c>
      <c r="T77" s="388">
        <v>-5070</v>
      </c>
      <c r="U77" s="426">
        <v>-6918</v>
      </c>
      <c r="V77" s="704" t="s">
        <v>214</v>
      </c>
      <c r="W77" s="705" t="s">
        <v>214</v>
      </c>
      <c r="X77" s="705" t="s">
        <v>214</v>
      </c>
      <c r="Y77" s="705" t="s">
        <v>214</v>
      </c>
      <c r="Z77" s="706"/>
      <c r="AA77" s="706"/>
      <c r="AB77" s="706"/>
      <c r="AC77" s="706"/>
      <c r="AD77" s="706"/>
      <c r="AE77" s="707"/>
      <c r="AF77" s="707"/>
      <c r="AG77" s="707"/>
      <c r="AH77" s="707"/>
      <c r="AI77" s="707"/>
      <c r="AJ77" s="707"/>
      <c r="AK77" s="707"/>
      <c r="AL77" s="755"/>
      <c r="AM77" s="229" t="e">
        <f>SUM(K77:M77)</f>
        <v>#REF!</v>
      </c>
      <c r="AN77" s="388" t="e">
        <f>SUM(O77:Q77)</f>
        <v>#REF!</v>
      </c>
      <c r="AO77" s="722" t="e">
        <f>AR77-AS77</f>
        <v>#REF!</v>
      </c>
      <c r="AP77" s="552" t="e">
        <f>-IF(OR((AO77/AS77)&gt;3,(AO77/AS77)&lt;-3),"n.m.",(AO77/AS77))</f>
        <v>#REF!</v>
      </c>
      <c r="AQ77" s="98"/>
      <c r="AR77" s="708" t="e">
        <f>SUM(J77:M77)</f>
        <v>#REF!</v>
      </c>
      <c r="AS77" s="708" t="e">
        <f>SUM(N77:Q77)</f>
        <v>#REF!</v>
      </c>
      <c r="AT77" s="708">
        <f>SUM(R77:U77)</f>
        <v>-22383</v>
      </c>
      <c r="AU77" s="708" t="s">
        <v>214</v>
      </c>
      <c r="AV77" s="709" t="s">
        <v>214</v>
      </c>
      <c r="AW77" s="708" t="s">
        <v>214</v>
      </c>
      <c r="AX77" s="708" t="s">
        <v>214</v>
      </c>
      <c r="AY77" s="213"/>
      <c r="AZ77" s="145"/>
      <c r="BA77" s="145"/>
      <c r="BB77" s="25"/>
    </row>
    <row r="78" spans="2:55" ht="12.75" customHeight="1">
      <c r="B78" s="13"/>
      <c r="C78" s="13"/>
      <c r="D78" s="13"/>
      <c r="E78" s="13"/>
      <c r="F78" s="13"/>
      <c r="G78" s="13"/>
      <c r="H78" s="13"/>
      <c r="I78" s="15"/>
      <c r="J78" s="13"/>
      <c r="K78" s="13"/>
      <c r="L78" s="13"/>
      <c r="M78" s="15"/>
      <c r="N78" s="13"/>
      <c r="O78" s="13"/>
      <c r="P78" s="13"/>
      <c r="Q78" s="15"/>
      <c r="R78" s="13"/>
      <c r="S78" s="13"/>
      <c r="T78" s="13"/>
      <c r="U78" s="15"/>
      <c r="V78" s="13"/>
      <c r="W78" s="13"/>
      <c r="X78" s="13"/>
      <c r="Y78" s="15"/>
      <c r="Z78" s="13"/>
      <c r="AA78" s="13"/>
      <c r="AB78" s="13"/>
      <c r="AC78" s="15"/>
      <c r="AD78" s="15"/>
      <c r="AE78" s="15"/>
      <c r="AF78" s="15"/>
      <c r="AG78" s="15"/>
      <c r="AH78" s="15"/>
      <c r="AI78" s="15"/>
      <c r="AJ78" s="15"/>
      <c r="AK78" s="15"/>
      <c r="AL78" s="3"/>
      <c r="AM78" s="3"/>
      <c r="AN78" s="3"/>
      <c r="AW78" s="2"/>
      <c r="AX78" s="2"/>
      <c r="BB78" s="3"/>
      <c r="BC78" s="3"/>
    </row>
    <row r="79" ht="12.75">
      <c r="A79" s="7" t="s">
        <v>405</v>
      </c>
    </row>
    <row r="80" spans="6:55" ht="12.7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5"/>
      <c r="AL80" s="585"/>
      <c r="AM80" s="585"/>
      <c r="AN80" s="585"/>
      <c r="AO80" s="585"/>
      <c r="AP80" s="585"/>
      <c r="AQ80" s="585"/>
      <c r="AR80" s="585"/>
      <c r="AS80" s="585"/>
      <c r="AT80" s="585"/>
      <c r="AU80" s="585"/>
      <c r="AV80" s="585"/>
      <c r="AW80" s="585"/>
      <c r="AX80" s="585"/>
      <c r="AY80" s="585"/>
      <c r="BB80" s="3"/>
      <c r="BC80" s="3"/>
    </row>
    <row r="81" spans="1:55" ht="12.75">
      <c r="A81" s="3"/>
      <c r="B81" s="3"/>
      <c r="C81" s="3"/>
      <c r="D81" s="3"/>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13"/>
      <c r="AP81" s="553"/>
      <c r="AR81" s="587"/>
      <c r="AS81" s="587"/>
      <c r="AT81" s="272"/>
      <c r="AU81" s="272"/>
      <c r="AV81" s="272"/>
      <c r="AW81" s="272"/>
      <c r="AX81" s="272"/>
      <c r="AY81" s="272"/>
      <c r="AZ81" s="272"/>
      <c r="BA81" s="272"/>
      <c r="BB81" s="272"/>
      <c r="BC81" s="3"/>
    </row>
    <row r="82" spans="6:55" ht="12.75">
      <c r="F82" s="457"/>
      <c r="G82" s="457"/>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R82" s="790"/>
      <c r="AS82" s="790"/>
      <c r="AT82" s="457"/>
      <c r="AU82" s="457"/>
      <c r="AV82" s="457"/>
      <c r="AW82" s="457"/>
      <c r="AX82" s="457"/>
      <c r="AY82" s="457"/>
      <c r="BB82" s="3"/>
      <c r="BC82" s="3"/>
    </row>
    <row r="83" spans="9:50" ht="12.75">
      <c r="I83" s="31"/>
      <c r="M83" s="31"/>
      <c r="Q83" s="31"/>
      <c r="U83" s="31"/>
      <c r="Y83" s="31"/>
      <c r="AC83" s="31"/>
      <c r="AE83" s="376"/>
      <c r="AH83" s="376"/>
      <c r="AI83" s="376"/>
      <c r="AK83" s="31"/>
      <c r="AL83" s="3"/>
      <c r="AM83" s="3"/>
      <c r="AN83" s="3"/>
      <c r="AR83" s="741"/>
      <c r="AS83" s="741"/>
      <c r="AW83" s="2"/>
      <c r="AX83" s="2"/>
    </row>
    <row r="84" spans="9:50" ht="12.75">
      <c r="I84" s="2"/>
      <c r="M84" s="2"/>
      <c r="Q84" s="2"/>
      <c r="U84" s="2"/>
      <c r="Y84" s="2"/>
      <c r="AC84" s="2"/>
      <c r="AE84" s="376"/>
      <c r="AH84" s="376"/>
      <c r="AI84" s="376"/>
      <c r="AK84" s="150"/>
      <c r="AL84" s="3"/>
      <c r="AM84" s="3"/>
      <c r="AN84" s="3"/>
      <c r="AR84" s="665"/>
      <c r="AS84" s="665"/>
      <c r="AW84" s="2"/>
      <c r="AX84" s="2"/>
    </row>
    <row r="85" spans="9:50" ht="12.75">
      <c r="I85" s="2"/>
      <c r="M85" s="2"/>
      <c r="Q85" s="2"/>
      <c r="U85" s="2"/>
      <c r="Y85" s="2"/>
      <c r="AC85" s="2"/>
      <c r="AE85" s="376"/>
      <c r="AH85" s="376"/>
      <c r="AI85" s="376"/>
      <c r="AK85" s="151"/>
      <c r="AL85" s="3"/>
      <c r="AM85" s="3"/>
      <c r="AN85" s="3"/>
      <c r="AW85" s="2"/>
      <c r="AX85" s="2"/>
    </row>
    <row r="86" spans="9:50" ht="12.75">
      <c r="I86" s="2"/>
      <c r="M86" s="2"/>
      <c r="Q86" s="2"/>
      <c r="U86" s="2"/>
      <c r="Y86" s="2"/>
      <c r="AC86" s="2"/>
      <c r="AE86" s="376"/>
      <c r="AH86" s="376"/>
      <c r="AI86" s="376"/>
      <c r="AK86" s="151"/>
      <c r="AL86" s="3"/>
      <c r="AM86" s="3"/>
      <c r="AN86" s="3"/>
      <c r="AW86" s="32"/>
      <c r="AX86" s="32"/>
    </row>
    <row r="87" spans="9:50" ht="12.75">
      <c r="I87" s="32"/>
      <c r="M87" s="32"/>
      <c r="Q87" s="32"/>
      <c r="U87" s="32"/>
      <c r="Y87" s="32"/>
      <c r="AC87" s="32"/>
      <c r="AE87" s="376"/>
      <c r="AH87" s="376"/>
      <c r="AI87" s="376"/>
      <c r="AK87" s="11"/>
      <c r="AL87" s="3"/>
      <c r="AM87" s="3"/>
      <c r="AN87" s="3"/>
      <c r="AW87" s="32"/>
      <c r="AX87" s="32"/>
    </row>
    <row r="88" spans="9:50" ht="12.75">
      <c r="I88" s="32"/>
      <c r="M88" s="32"/>
      <c r="Q88" s="32"/>
      <c r="U88" s="32"/>
      <c r="Y88" s="32"/>
      <c r="AC88" s="32"/>
      <c r="AE88" s="376"/>
      <c r="AH88" s="376"/>
      <c r="AI88" s="376"/>
      <c r="AK88" s="11"/>
      <c r="AL88" s="3"/>
      <c r="AM88" s="3"/>
      <c r="AN88" s="3"/>
      <c r="AW88" s="32"/>
      <c r="AX88" s="32"/>
    </row>
    <row r="89" spans="9:50" ht="12.75">
      <c r="I89" s="33"/>
      <c r="M89" s="33"/>
      <c r="Q89" s="33"/>
      <c r="U89" s="33"/>
      <c r="Y89" s="33"/>
      <c r="AC89" s="33"/>
      <c r="AE89" s="376"/>
      <c r="AH89" s="376"/>
      <c r="AI89" s="376"/>
      <c r="AK89" s="33"/>
      <c r="AL89" s="3"/>
      <c r="AM89" s="3"/>
      <c r="AN89" s="3"/>
      <c r="AW89" s="2"/>
      <c r="AX89" s="2"/>
    </row>
    <row r="90" spans="9:50" ht="12.75">
      <c r="I90" s="2"/>
      <c r="M90" s="2"/>
      <c r="Q90" s="2"/>
      <c r="U90" s="2"/>
      <c r="Y90" s="2"/>
      <c r="AC90" s="2"/>
      <c r="AE90" s="376"/>
      <c r="AH90" s="376"/>
      <c r="AI90" s="376"/>
      <c r="AK90" s="152"/>
      <c r="AL90" s="3"/>
      <c r="AM90" s="3"/>
      <c r="AN90" s="3"/>
      <c r="AW90" s="2"/>
      <c r="AX90" s="2"/>
    </row>
    <row r="91" spans="9:50" ht="12.75">
      <c r="I91" s="2"/>
      <c r="M91" s="2"/>
      <c r="Q91" s="2"/>
      <c r="U91" s="2"/>
      <c r="Y91" s="2"/>
      <c r="AC91" s="2"/>
      <c r="AD91" s="2"/>
      <c r="AE91" s="376"/>
      <c r="AG91" s="2"/>
      <c r="AH91" s="376"/>
      <c r="AI91" s="376"/>
      <c r="AJ91" s="2"/>
      <c r="AK91" s="2"/>
      <c r="AL91" s="3"/>
      <c r="AM91" s="3"/>
      <c r="AN91" s="3"/>
      <c r="AW91" s="51"/>
      <c r="AX91" s="51"/>
    </row>
    <row r="92" spans="9:50" ht="12.75">
      <c r="I92" s="32"/>
      <c r="M92" s="32"/>
      <c r="Q92" s="32"/>
      <c r="U92" s="32"/>
      <c r="Y92" s="32"/>
      <c r="AC92" s="32"/>
      <c r="AD92" s="44"/>
      <c r="AE92" s="376"/>
      <c r="AF92" s="32"/>
      <c r="AG92" s="32"/>
      <c r="AH92" s="376"/>
      <c r="AI92" s="376"/>
      <c r="AJ92" s="34"/>
      <c r="AK92" s="1"/>
      <c r="AL92" s="3"/>
      <c r="AM92" s="3"/>
      <c r="AN92" s="3"/>
      <c r="AW92" s="51"/>
      <c r="AX92" s="51"/>
    </row>
    <row r="93" spans="29:50" ht="12.75">
      <c r="AC93" s="32"/>
      <c r="AD93" s="32"/>
      <c r="AE93" s="376"/>
      <c r="AH93" s="376"/>
      <c r="AI93" s="376"/>
      <c r="AJ93" s="32"/>
      <c r="AK93" s="32"/>
      <c r="AL93" s="3"/>
      <c r="AM93" s="3"/>
      <c r="AN93" s="3"/>
      <c r="AW93" s="52"/>
      <c r="AX93" s="52"/>
    </row>
    <row r="94" spans="29:50" ht="12.75">
      <c r="AC94" s="11"/>
      <c r="AD94" s="42"/>
      <c r="AE94" s="35"/>
      <c r="AF94" s="35"/>
      <c r="AG94" s="35"/>
      <c r="AH94" s="42"/>
      <c r="AI94" s="35"/>
      <c r="AJ94" s="35"/>
      <c r="AK94" s="47"/>
      <c r="AL94" s="3"/>
      <c r="AM94" s="3"/>
      <c r="AN94" s="3"/>
      <c r="AW94" s="53"/>
      <c r="AX94" s="53"/>
    </row>
    <row r="95" spans="29:50" ht="12.75">
      <c r="AC95" s="11"/>
      <c r="AD95" s="35"/>
      <c r="AE95" s="35"/>
      <c r="AF95" s="35"/>
      <c r="AG95" s="35"/>
      <c r="AH95" s="35"/>
      <c r="AI95" s="35"/>
      <c r="AJ95" s="35"/>
      <c r="AK95" s="47"/>
      <c r="AL95" s="3"/>
      <c r="AM95" s="3"/>
      <c r="AN95" s="3"/>
      <c r="AW95" s="35"/>
      <c r="AX95" s="35"/>
    </row>
    <row r="96" spans="29:50" ht="12.75">
      <c r="AC96" s="11"/>
      <c r="AD96" s="35"/>
      <c r="AE96" s="35"/>
      <c r="AF96" s="35"/>
      <c r="AG96" s="35"/>
      <c r="AH96" s="35"/>
      <c r="AI96" s="35"/>
      <c r="AJ96" s="35"/>
      <c r="AK96" s="41"/>
      <c r="AL96" s="3"/>
      <c r="AM96" s="3"/>
      <c r="AN96" s="3"/>
      <c r="AW96" s="35"/>
      <c r="AX96" s="35"/>
    </row>
    <row r="97" spans="29:50" ht="12.75">
      <c r="AC97" s="35"/>
      <c r="AD97" s="35"/>
      <c r="AE97" s="35"/>
      <c r="AF97" s="35"/>
      <c r="AG97" s="35"/>
      <c r="AH97" s="35"/>
      <c r="AI97" s="35"/>
      <c r="AJ97" s="35"/>
      <c r="AK97" s="35"/>
      <c r="AL97" s="3"/>
      <c r="AM97" s="3"/>
      <c r="AN97" s="3"/>
      <c r="AW97" s="36"/>
      <c r="AX97" s="36"/>
    </row>
    <row r="98" spans="29:50" ht="12.75">
      <c r="AC98" s="36"/>
      <c r="AD98" s="36"/>
      <c r="AE98" s="36"/>
      <c r="AF98" s="36"/>
      <c r="AG98" s="36"/>
      <c r="AH98" s="36"/>
      <c r="AI98" s="36"/>
      <c r="AJ98" s="36"/>
      <c r="AK98" s="36"/>
      <c r="AL98" s="3"/>
      <c r="AM98" s="3"/>
      <c r="AN98" s="3"/>
      <c r="AW98" s="36"/>
      <c r="AX98" s="36"/>
    </row>
    <row r="99" spans="29:50" ht="12.75">
      <c r="AC99" s="36"/>
      <c r="AD99" s="36"/>
      <c r="AE99" s="36"/>
      <c r="AF99" s="36"/>
      <c r="AG99" s="36"/>
      <c r="AH99" s="36"/>
      <c r="AI99" s="36"/>
      <c r="AJ99" s="36"/>
      <c r="AK99" s="36"/>
      <c r="AL99" s="3"/>
      <c r="AM99" s="3"/>
      <c r="AN99" s="3"/>
      <c r="AW99" s="3"/>
      <c r="AX99" s="3"/>
    </row>
    <row r="100" spans="29:50" ht="12.75">
      <c r="AC100" s="3"/>
      <c r="AD100" s="3"/>
      <c r="AE100" s="3"/>
      <c r="AF100" s="3"/>
      <c r="AG100" s="3"/>
      <c r="AH100" s="3"/>
      <c r="AI100" s="3"/>
      <c r="AJ100" s="3"/>
      <c r="AK100" s="3"/>
      <c r="AL100" s="3"/>
      <c r="AM100" s="3"/>
      <c r="AN100" s="3"/>
      <c r="AW100" s="3"/>
      <c r="AX100" s="3"/>
    </row>
    <row r="101" spans="29:50" ht="12.75">
      <c r="AC101" s="3"/>
      <c r="AD101" s="3"/>
      <c r="AE101" s="3"/>
      <c r="AF101" s="3"/>
      <c r="AG101" s="3"/>
      <c r="AH101" s="3"/>
      <c r="AI101" s="3"/>
      <c r="AJ101" s="3"/>
      <c r="AK101" s="3"/>
      <c r="AL101" s="3"/>
      <c r="AM101" s="3"/>
      <c r="AN101" s="3"/>
      <c r="AW101" s="3"/>
      <c r="AX101" s="3"/>
    </row>
    <row r="102" spans="29:50" ht="12.75">
      <c r="AC102" s="3"/>
      <c r="AD102" s="3"/>
      <c r="AE102" s="3"/>
      <c r="AF102" s="3"/>
      <c r="AG102" s="3"/>
      <c r="AH102" s="3"/>
      <c r="AI102" s="3"/>
      <c r="AJ102" s="3"/>
      <c r="AK102" s="3"/>
      <c r="AL102" s="3"/>
      <c r="AM102" s="3"/>
      <c r="AN102" s="3"/>
      <c r="AW102" s="3"/>
      <c r="AX102" s="3"/>
    </row>
    <row r="103" spans="29:50" ht="12.75">
      <c r="AC103" s="3"/>
      <c r="AD103" s="3"/>
      <c r="AE103" s="3"/>
      <c r="AF103" s="3"/>
      <c r="AG103" s="3"/>
      <c r="AH103" s="3"/>
      <c r="AI103" s="3"/>
      <c r="AJ103" s="3"/>
      <c r="AK103" s="3"/>
      <c r="AL103" s="3"/>
      <c r="AM103" s="3"/>
      <c r="AN103" s="3"/>
      <c r="AW103" s="3"/>
      <c r="AX103" s="3"/>
    </row>
    <row r="104" spans="29:40" ht="12.75">
      <c r="AC104" s="3"/>
      <c r="AD104" s="3"/>
      <c r="AE104" s="3"/>
      <c r="AF104" s="3"/>
      <c r="AG104" s="3"/>
      <c r="AH104" s="3"/>
      <c r="AI104" s="3"/>
      <c r="AJ104" s="3"/>
      <c r="AK104" s="3"/>
      <c r="AL104" s="3"/>
      <c r="AM104" s="3"/>
      <c r="AN104" s="3"/>
    </row>
  </sheetData>
  <sheetProtection/>
  <mergeCells count="11">
    <mergeCell ref="C9:D9"/>
    <mergeCell ref="C10:D10"/>
    <mergeCell ref="C56:D56"/>
    <mergeCell ref="A36:B36"/>
    <mergeCell ref="AO10:AP10"/>
    <mergeCell ref="AO57:AP57"/>
    <mergeCell ref="AO68:AP68"/>
    <mergeCell ref="C68:D68"/>
    <mergeCell ref="C67:D67"/>
    <mergeCell ref="A42:B42"/>
    <mergeCell ref="C57:D57"/>
  </mergeCells>
  <conditionalFormatting sqref="AV46:AX50 A54:A55 AS65:AT65 AD46:AK50 AD62:AK65 A66 A74:A77 AU62:AX65 AU46:AU51 AS51:AT51 B43:B47 A43 A46:A47">
    <cfRule type="cellIs" priority="4" dxfId="0" operator="equal" stopIfTrue="1">
      <formula>0</formula>
    </cfRule>
  </conditionalFormatting>
  <conditionalFormatting sqref="AR65 AR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&amp;L&amp;F&amp;CPage 7</oddFooter>
  </headerFooter>
  <colBreaks count="1" manualBreakCount="1">
    <brk id="51" max="70" man="1"/>
  </colBreaks>
  <ignoredErrors>
    <ignoredError sqref="AT31 AT20:AT29" formulaRange="1"/>
  </ignoredErrors>
  <drawing r:id="rId1"/>
</worksheet>
</file>

<file path=xl/worksheets/sheet15.xml><?xml version="1.0" encoding="utf-8"?>
<worksheet xmlns="http://schemas.openxmlformats.org/spreadsheetml/2006/main" xmlns:r="http://schemas.openxmlformats.org/officeDocument/2006/relationships">
  <sheetPr>
    <pageSetUpPr fitToPage="1"/>
  </sheetPr>
  <dimension ref="A5:BI97"/>
  <sheetViews>
    <sheetView view="pageBreakPreview" zoomScale="90" zoomScaleSheetLayoutView="90" zoomScalePageLayoutView="0" workbookViewId="0" topLeftCell="A28">
      <pane xSplit="2" topLeftCell="C1" activePane="topRight" state="frozen"/>
      <selection pane="topLeft" activeCell="B21" sqref="B21:L21"/>
      <selection pane="topRight" activeCell="A73" sqref="A73:IV73"/>
    </sheetView>
  </sheetViews>
  <sheetFormatPr defaultColWidth="9.140625" defaultRowHeight="12.75" outlineLevelRow="1"/>
  <cols>
    <col min="1" max="1" width="2.7109375" style="0" customWidth="1"/>
    <col min="2" max="2" width="44.7109375" style="0" customWidth="1"/>
    <col min="3" max="4" width="9.7109375" style="0" customWidth="1"/>
    <col min="5" max="5" width="1.57421875" style="3" customWidth="1"/>
    <col min="6" max="6" width="9.7109375" style="3" hidden="1" customWidth="1"/>
    <col min="7" max="8" width="8.421875" style="3" hidden="1" customWidth="1"/>
    <col min="9" max="9" width="8.421875" style="3" customWidth="1"/>
    <col min="10" max="10" width="9.7109375" style="3" customWidth="1"/>
    <col min="11" max="13" width="8.421875" style="3" customWidth="1"/>
    <col min="14" max="16" width="8.57421875" style="3" customWidth="1"/>
    <col min="17" max="17" width="8.8515625" style="3" customWidth="1"/>
    <col min="18" max="18" width="9.140625" style="3" hidden="1" customWidth="1"/>
    <col min="19" max="26" width="8.57421875" style="3" hidden="1" customWidth="1"/>
    <col min="27" max="28" width="9.7109375" style="3" hidden="1" customWidth="1"/>
    <col min="29" max="37" width="9.7109375" style="0" hidden="1" customWidth="1"/>
    <col min="38" max="38" width="1.57421875" style="0" customWidth="1"/>
    <col min="39" max="40" width="9.8515625" style="0" hidden="1" customWidth="1"/>
    <col min="41" max="42" width="9.8515625" style="107" hidden="1" customWidth="1"/>
    <col min="43" max="43" width="1.57421875" style="0" hidden="1" customWidth="1"/>
    <col min="44" max="46" width="9.7109375" style="107" customWidth="1"/>
    <col min="47" max="47" width="9.28125" style="0" customWidth="1"/>
    <col min="48" max="48" width="9.7109375" style="0" customWidth="1"/>
    <col min="49" max="53" width="9.7109375" style="0" hidden="1" customWidth="1"/>
    <col min="54" max="54" width="1.57421875" style="0" customWidth="1"/>
  </cols>
  <sheetData>
    <row r="1" ht="12.75"/>
    <row r="2" ht="12.75"/>
    <row r="3" ht="12.75"/>
    <row r="4" ht="12.75"/>
    <row r="5" spans="1:31" ht="12.75">
      <c r="A5" s="3"/>
      <c r="B5" s="3"/>
      <c r="C5" s="3"/>
      <c r="D5" s="3"/>
      <c r="AC5" s="3"/>
      <c r="AD5" s="3"/>
      <c r="AE5" s="3"/>
    </row>
    <row r="6" spans="1:40" ht="18" customHeight="1">
      <c r="A6" s="134" t="s">
        <v>326</v>
      </c>
      <c r="B6" s="3"/>
      <c r="C6" s="3"/>
      <c r="D6" s="3"/>
      <c r="F6" s="595"/>
      <c r="G6" s="595"/>
      <c r="J6" s="595"/>
      <c r="K6" s="595"/>
      <c r="N6" s="595"/>
      <c r="O6" s="595"/>
      <c r="AC6" s="3"/>
      <c r="AD6" s="3"/>
      <c r="AE6" s="3"/>
      <c r="AM6" s="595"/>
      <c r="AN6" s="595"/>
    </row>
    <row r="7" spans="1:31" ht="18" customHeight="1">
      <c r="A7" s="134" t="s">
        <v>265</v>
      </c>
      <c r="B7" s="3"/>
      <c r="C7" s="3"/>
      <c r="D7" s="3"/>
      <c r="AC7" s="3"/>
      <c r="AD7" s="3"/>
      <c r="AE7" s="3"/>
    </row>
    <row r="8" spans="1:31" ht="14.25">
      <c r="A8" s="788" t="s">
        <v>421</v>
      </c>
      <c r="B8" s="3"/>
      <c r="C8" s="3"/>
      <c r="D8" s="3"/>
      <c r="AC8" s="3"/>
      <c r="AD8" s="3"/>
      <c r="AE8" s="3"/>
    </row>
    <row r="9" spans="1:53" ht="9.75" customHeight="1">
      <c r="A9" s="2"/>
      <c r="B9" s="2"/>
      <c r="C9" s="2"/>
      <c r="D9" s="2"/>
      <c r="E9" s="2"/>
      <c r="F9" s="2"/>
      <c r="G9" s="2"/>
      <c r="H9" s="2"/>
      <c r="I9" s="2"/>
      <c r="J9" s="2"/>
      <c r="K9" s="2"/>
      <c r="L9" s="2"/>
      <c r="M9" s="2"/>
      <c r="N9" s="491"/>
      <c r="O9" s="2"/>
      <c r="P9" s="2"/>
      <c r="Q9" s="2"/>
      <c r="R9" s="491"/>
      <c r="S9" s="2"/>
      <c r="T9" s="491"/>
      <c r="U9" s="2"/>
      <c r="V9" s="491"/>
      <c r="W9" s="2"/>
      <c r="X9" s="491"/>
      <c r="Y9" s="2"/>
      <c r="Z9" s="491"/>
      <c r="AA9" s="2"/>
      <c r="AB9" s="2"/>
      <c r="AC9" s="3"/>
      <c r="AD9" s="3"/>
      <c r="AE9" s="3"/>
      <c r="AO9" s="626"/>
      <c r="AP9" s="626"/>
      <c r="AR9" s="626"/>
      <c r="AS9" s="626"/>
      <c r="AT9" s="626"/>
      <c r="AY9" s="3"/>
      <c r="AZ9" s="3"/>
      <c r="BA9" s="3"/>
    </row>
    <row r="10" spans="1:54" ht="12.75">
      <c r="A10" s="6" t="s">
        <v>1</v>
      </c>
      <c r="B10" s="7"/>
      <c r="C10" s="1437" t="s">
        <v>428</v>
      </c>
      <c r="D10" s="1438"/>
      <c r="E10" s="259"/>
      <c r="F10" s="477"/>
      <c r="G10" s="477"/>
      <c r="H10" s="477"/>
      <c r="I10" s="19"/>
      <c r="J10" s="477"/>
      <c r="K10" s="477"/>
      <c r="L10" s="477"/>
      <c r="M10" s="19"/>
      <c r="N10" s="17"/>
      <c r="O10" s="18"/>
      <c r="P10" s="477"/>
      <c r="Q10" s="19"/>
      <c r="R10" s="17"/>
      <c r="S10" s="18"/>
      <c r="T10" s="477"/>
      <c r="U10" s="19"/>
      <c r="W10" s="18"/>
      <c r="X10" s="2"/>
      <c r="Y10" s="19"/>
      <c r="Z10" s="18"/>
      <c r="AB10" s="477"/>
      <c r="AC10" s="19"/>
      <c r="AD10" s="18"/>
      <c r="AE10" s="18"/>
      <c r="AF10" s="18"/>
      <c r="AG10" s="18"/>
      <c r="AH10" s="22"/>
      <c r="AI10" s="19"/>
      <c r="AJ10" s="19"/>
      <c r="AK10" s="19"/>
      <c r="AL10" s="24"/>
      <c r="AM10" s="725" t="s">
        <v>406</v>
      </c>
      <c r="AN10" s="711"/>
      <c r="AO10" s="711" t="s">
        <v>386</v>
      </c>
      <c r="AP10" s="712"/>
      <c r="AQ10" s="15"/>
      <c r="AR10" s="669"/>
      <c r="AS10" s="669"/>
      <c r="AT10" s="669"/>
      <c r="AU10" s="88"/>
      <c r="AV10" s="88"/>
      <c r="AW10" s="17"/>
      <c r="AX10" s="22"/>
      <c r="AY10" s="88"/>
      <c r="AZ10" s="88"/>
      <c r="BA10" s="669"/>
      <c r="BB10" s="25"/>
    </row>
    <row r="11" spans="1:61" ht="13.5">
      <c r="A11" s="6" t="s">
        <v>2</v>
      </c>
      <c r="B11" s="7"/>
      <c r="C11" s="1439" t="s">
        <v>41</v>
      </c>
      <c r="D11" s="1440"/>
      <c r="E11" s="603"/>
      <c r="F11" s="21" t="s">
        <v>431</v>
      </c>
      <c r="G11" s="21" t="s">
        <v>430</v>
      </c>
      <c r="H11" s="21" t="s">
        <v>429</v>
      </c>
      <c r="I11" s="14" t="s">
        <v>427</v>
      </c>
      <c r="J11" s="21" t="s">
        <v>362</v>
      </c>
      <c r="K11" s="21" t="s">
        <v>363</v>
      </c>
      <c r="L11" s="21" t="s">
        <v>364</v>
      </c>
      <c r="M11" s="14" t="s">
        <v>365</v>
      </c>
      <c r="N11" s="20" t="s">
        <v>277</v>
      </c>
      <c r="O11" s="21" t="s">
        <v>278</v>
      </c>
      <c r="P11" s="21" t="s">
        <v>279</v>
      </c>
      <c r="Q11" s="14" t="s">
        <v>276</v>
      </c>
      <c r="R11" s="20" t="s">
        <v>222</v>
      </c>
      <c r="S11" s="21" t="s">
        <v>223</v>
      </c>
      <c r="T11" s="21" t="s">
        <v>224</v>
      </c>
      <c r="U11" s="14" t="s">
        <v>225</v>
      </c>
      <c r="V11" s="21" t="s">
        <v>141</v>
      </c>
      <c r="W11" s="21" t="s">
        <v>140</v>
      </c>
      <c r="X11" s="21" t="s">
        <v>139</v>
      </c>
      <c r="Y11" s="14" t="s">
        <v>138</v>
      </c>
      <c r="Z11" s="21" t="s">
        <v>91</v>
      </c>
      <c r="AA11" s="21" t="s">
        <v>92</v>
      </c>
      <c r="AB11" s="21" t="s">
        <v>93</v>
      </c>
      <c r="AC11" s="14" t="s">
        <v>32</v>
      </c>
      <c r="AD11" s="21" t="s">
        <v>33</v>
      </c>
      <c r="AE11" s="21" t="s">
        <v>34</v>
      </c>
      <c r="AF11" s="21" t="s">
        <v>35</v>
      </c>
      <c r="AG11" s="21" t="s">
        <v>36</v>
      </c>
      <c r="AH11" s="23" t="s">
        <v>37</v>
      </c>
      <c r="AI11" s="14" t="s">
        <v>38</v>
      </c>
      <c r="AJ11" s="14" t="s">
        <v>39</v>
      </c>
      <c r="AK11" s="14" t="s">
        <v>40</v>
      </c>
      <c r="AL11" s="259"/>
      <c r="AM11" s="21" t="s">
        <v>363</v>
      </c>
      <c r="AN11" s="21" t="s">
        <v>278</v>
      </c>
      <c r="AO11" s="1461" t="s">
        <v>41</v>
      </c>
      <c r="AP11" s="1436"/>
      <c r="AQ11" s="731"/>
      <c r="AR11" s="20" t="s">
        <v>367</v>
      </c>
      <c r="AS11" s="20" t="s">
        <v>285</v>
      </c>
      <c r="AT11" s="20" t="s">
        <v>143</v>
      </c>
      <c r="AU11" s="20" t="s">
        <v>142</v>
      </c>
      <c r="AV11" s="20" t="s">
        <v>45</v>
      </c>
      <c r="AW11" s="20" t="s">
        <v>42</v>
      </c>
      <c r="AX11" s="23" t="s">
        <v>43</v>
      </c>
      <c r="AY11" s="23" t="s">
        <v>165</v>
      </c>
      <c r="AZ11" s="23" t="s">
        <v>166</v>
      </c>
      <c r="BA11" s="20" t="s">
        <v>167</v>
      </c>
      <c r="BB11" s="25"/>
      <c r="BC11" s="3"/>
      <c r="BD11" s="3"/>
      <c r="BG11" s="3"/>
      <c r="BH11" s="3"/>
      <c r="BI11" s="3"/>
    </row>
    <row r="12" spans="1:61" ht="12.75">
      <c r="A12" s="6"/>
      <c r="B12" s="7"/>
      <c r="C12" s="694"/>
      <c r="D12" s="732"/>
      <c r="E12" s="730"/>
      <c r="F12" s="697" t="s">
        <v>307</v>
      </c>
      <c r="G12" s="697" t="s">
        <v>307</v>
      </c>
      <c r="H12" s="697" t="s">
        <v>307</v>
      </c>
      <c r="I12" s="698" t="s">
        <v>307</v>
      </c>
      <c r="J12" s="697" t="s">
        <v>307</v>
      </c>
      <c r="K12" s="697" t="s">
        <v>307</v>
      </c>
      <c r="L12" s="697" t="s">
        <v>307</v>
      </c>
      <c r="M12" s="698" t="s">
        <v>307</v>
      </c>
      <c r="N12" s="696" t="s">
        <v>307</v>
      </c>
      <c r="O12" s="697" t="s">
        <v>307</v>
      </c>
      <c r="P12" s="697" t="s">
        <v>307</v>
      </c>
      <c r="Q12" s="698" t="s">
        <v>307</v>
      </c>
      <c r="R12" s="696" t="s">
        <v>307</v>
      </c>
      <c r="S12" s="697" t="s">
        <v>307</v>
      </c>
      <c r="T12" s="697" t="s">
        <v>307</v>
      </c>
      <c r="U12" s="698" t="s">
        <v>307</v>
      </c>
      <c r="V12" s="696" t="s">
        <v>308</v>
      </c>
      <c r="W12" s="697" t="s">
        <v>308</v>
      </c>
      <c r="X12" s="697" t="s">
        <v>308</v>
      </c>
      <c r="Y12" s="698" t="s">
        <v>308</v>
      </c>
      <c r="Z12" s="15"/>
      <c r="AA12" s="15"/>
      <c r="AB12" s="15"/>
      <c r="AC12" s="233"/>
      <c r="AD12" s="15"/>
      <c r="AE12" s="15"/>
      <c r="AF12" s="15"/>
      <c r="AG12" s="15"/>
      <c r="AH12" s="259"/>
      <c r="AI12" s="233"/>
      <c r="AJ12" s="233"/>
      <c r="AK12" s="233"/>
      <c r="AL12" s="259"/>
      <c r="AM12" s="697" t="s">
        <v>307</v>
      </c>
      <c r="AN12" s="697" t="s">
        <v>307</v>
      </c>
      <c r="AO12" s="713"/>
      <c r="AP12" s="714"/>
      <c r="AQ12" s="731"/>
      <c r="AR12" s="696" t="s">
        <v>307</v>
      </c>
      <c r="AS12" s="696" t="s">
        <v>307</v>
      </c>
      <c r="AT12" s="696" t="s">
        <v>307</v>
      </c>
      <c r="AU12" s="696" t="s">
        <v>308</v>
      </c>
      <c r="AV12" s="696" t="s">
        <v>308</v>
      </c>
      <c r="AW12" s="696" t="s">
        <v>308</v>
      </c>
      <c r="AX12" s="699" t="s">
        <v>308</v>
      </c>
      <c r="AY12" s="259"/>
      <c r="AZ12" s="259"/>
      <c r="BA12" s="232"/>
      <c r="BB12" s="25"/>
      <c r="BC12" s="3"/>
      <c r="BD12" s="3"/>
      <c r="BG12" s="3"/>
      <c r="BH12" s="3"/>
      <c r="BI12" s="3"/>
    </row>
    <row r="13" spans="1:59" ht="12.75" customHeight="1">
      <c r="A13" s="142" t="s">
        <v>68</v>
      </c>
      <c r="B13" s="8"/>
      <c r="C13" s="164"/>
      <c r="D13" s="166"/>
      <c r="E13" s="89"/>
      <c r="F13" s="7"/>
      <c r="G13" s="7"/>
      <c r="H13" s="7"/>
      <c r="I13" s="479"/>
      <c r="J13" s="7"/>
      <c r="K13" s="7"/>
      <c r="L13" s="7"/>
      <c r="M13" s="479"/>
      <c r="N13" s="148"/>
      <c r="O13" s="7"/>
      <c r="P13" s="7"/>
      <c r="Q13" s="479"/>
      <c r="R13" s="148"/>
      <c r="S13" s="7"/>
      <c r="T13" s="7"/>
      <c r="U13" s="479"/>
      <c r="V13" s="148"/>
      <c r="W13" s="7"/>
      <c r="X13" s="7"/>
      <c r="Y13" s="479"/>
      <c r="Z13" s="148"/>
      <c r="AA13" s="7"/>
      <c r="AB13" s="7"/>
      <c r="AC13" s="479"/>
      <c r="AD13" s="195"/>
      <c r="AE13" s="148"/>
      <c r="AF13" s="148"/>
      <c r="AG13" s="166"/>
      <c r="AH13" s="194"/>
      <c r="AI13" s="166"/>
      <c r="AJ13" s="166"/>
      <c r="AK13" s="165"/>
      <c r="AL13" s="89"/>
      <c r="AM13" s="733"/>
      <c r="AN13" s="723"/>
      <c r="AO13" s="723"/>
      <c r="AP13" s="658"/>
      <c r="AQ13" s="83"/>
      <c r="AR13" s="646"/>
      <c r="AS13" s="646"/>
      <c r="AT13" s="646"/>
      <c r="AU13" s="89"/>
      <c r="AV13" s="89"/>
      <c r="AW13" s="164"/>
      <c r="AX13" s="89"/>
      <c r="AY13" s="360"/>
      <c r="AZ13" s="360"/>
      <c r="BA13" s="538"/>
      <c r="BB13" s="25"/>
      <c r="BC13" s="3"/>
      <c r="BD13" s="3"/>
      <c r="BG13" s="3"/>
    </row>
    <row r="14" spans="1:59" ht="12.75" customHeight="1">
      <c r="A14" s="7"/>
      <c r="B14" s="83" t="s">
        <v>219</v>
      </c>
      <c r="C14" s="242" t="e">
        <f>I14-M14</f>
        <v>#REF!</v>
      </c>
      <c r="D14" s="30" t="e">
        <f>IF(OR((C14/M14)&gt;3,(C14/M14)&lt;-3),"n.m.",(C14/M14))</f>
        <v>#REF!</v>
      </c>
      <c r="E14" s="592"/>
      <c r="F14" s="234" t="e">
        <f>+#REF!</f>
        <v>#REF!</v>
      </c>
      <c r="G14" s="234" t="e">
        <f>+#REF!</f>
        <v>#REF!</v>
      </c>
      <c r="H14" s="234" t="e">
        <f>+#REF!</f>
        <v>#REF!</v>
      </c>
      <c r="I14" s="234" t="e">
        <f>+#REF!</f>
        <v>#REF!</v>
      </c>
      <c r="J14" s="237" t="e">
        <f>+#REF!</f>
        <v>#REF!</v>
      </c>
      <c r="K14" s="234" t="e">
        <f>+#REF!</f>
        <v>#REF!</v>
      </c>
      <c r="L14" s="234" t="e">
        <f>+#REF!</f>
        <v>#REF!</v>
      </c>
      <c r="M14" s="238" t="e">
        <f>+#REF!</f>
        <v>#REF!</v>
      </c>
      <c r="N14" s="234" t="e">
        <f>#REF!</f>
        <v>#REF!</v>
      </c>
      <c r="O14" s="234">
        <v>12748</v>
      </c>
      <c r="P14" s="234">
        <v>9338</v>
      </c>
      <c r="Q14" s="238">
        <v>9246</v>
      </c>
      <c r="R14" s="234">
        <v>34555</v>
      </c>
      <c r="S14" s="234">
        <v>23339</v>
      </c>
      <c r="T14" s="234">
        <v>18338</v>
      </c>
      <c r="U14" s="238">
        <v>16445</v>
      </c>
      <c r="V14" s="234">
        <v>21333</v>
      </c>
      <c r="W14" s="234">
        <v>26421</v>
      </c>
      <c r="X14" s="234">
        <v>13775</v>
      </c>
      <c r="Y14" s="238">
        <v>20925</v>
      </c>
      <c r="Z14" s="234"/>
      <c r="AA14" s="234"/>
      <c r="AB14" s="234"/>
      <c r="AC14" s="238"/>
      <c r="AD14" s="234"/>
      <c r="AE14" s="234"/>
      <c r="AF14" s="234"/>
      <c r="AG14" s="238"/>
      <c r="AH14" s="201"/>
      <c r="AI14" s="241"/>
      <c r="AJ14" s="238"/>
      <c r="AK14" s="234"/>
      <c r="AL14" s="203"/>
      <c r="AM14" s="242" t="e">
        <f>SUM(K14:M14)</f>
        <v>#REF!</v>
      </c>
      <c r="AN14" s="254">
        <f>SUM(O14:Q14)</f>
        <v>31332</v>
      </c>
      <c r="AO14" s="254" t="e">
        <f>AR14-AS14</f>
        <v>#REF!</v>
      </c>
      <c r="AP14" s="30" t="e">
        <f>IF(OR((AO14/AS14)&gt;3,(AO14/AS14)&lt;-3),"n.m.",(AO14/AS14))</f>
        <v>#REF!</v>
      </c>
      <c r="AQ14" s="245"/>
      <c r="AR14" s="379" t="e">
        <f>SUM(J14:M14)</f>
        <v>#REF!</v>
      </c>
      <c r="AS14" s="379" t="e">
        <f>SUM(N14:Q14)</f>
        <v>#REF!</v>
      </c>
      <c r="AT14" s="379">
        <f>SUM(R14:U14)</f>
        <v>92677</v>
      </c>
      <c r="AU14" s="201">
        <f>SUM(V14:Y14)</f>
        <v>82454</v>
      </c>
      <c r="AV14" s="201">
        <v>72926</v>
      </c>
      <c r="AW14" s="201">
        <v>118332</v>
      </c>
      <c r="AX14" s="207">
        <v>129852</v>
      </c>
      <c r="AY14" s="43">
        <v>125900</v>
      </c>
      <c r="AZ14" s="43">
        <v>116090</v>
      </c>
      <c r="BA14" s="38">
        <v>84489</v>
      </c>
      <c r="BB14" s="25"/>
      <c r="BC14" s="3"/>
      <c r="BD14" s="3"/>
      <c r="BG14" s="3"/>
    </row>
    <row r="15" spans="1:59" ht="12.75" customHeight="1">
      <c r="A15" s="7"/>
      <c r="B15" s="83" t="s">
        <v>413</v>
      </c>
      <c r="C15" s="242">
        <f>I15-M15</f>
        <v>7391</v>
      </c>
      <c r="D15" s="30" t="s">
        <v>44</v>
      </c>
      <c r="E15" s="592"/>
      <c r="F15" s="621">
        <f>+'9 CWM UK and Europe'!F15</f>
        <v>0</v>
      </c>
      <c r="G15" s="621">
        <f>+'9 CWM UK and Europe'!G15</f>
        <v>27018</v>
      </c>
      <c r="H15" s="621">
        <f>+'9 CWM UK and Europe'!H15</f>
        <v>25830</v>
      </c>
      <c r="I15" s="621">
        <f>+'9 CWM UK and Europe'!I15</f>
        <v>26978</v>
      </c>
      <c r="J15" s="586">
        <f>+'9 CWM UK and Europe'!J15</f>
        <v>26706</v>
      </c>
      <c r="K15" s="621">
        <f>+'9 CWM UK and Europe'!K15</f>
        <v>24792</v>
      </c>
      <c r="L15" s="621">
        <f>+'9 CWM UK and Europe'!L15</f>
        <v>20672</v>
      </c>
      <c r="M15" s="618">
        <f>+'9 CWM UK and Europe'!M14</f>
        <v>19587</v>
      </c>
      <c r="N15" s="234">
        <f>+'9 CWM UK and Europe'!N14</f>
        <v>1987</v>
      </c>
      <c r="O15" s="619">
        <v>0</v>
      </c>
      <c r="P15" s="619">
        <v>0</v>
      </c>
      <c r="Q15" s="764">
        <v>0</v>
      </c>
      <c r="R15" s="619">
        <v>0</v>
      </c>
      <c r="S15" s="619">
        <v>0</v>
      </c>
      <c r="T15" s="619">
        <v>0</v>
      </c>
      <c r="U15" s="764">
        <v>0</v>
      </c>
      <c r="V15" s="619">
        <v>0</v>
      </c>
      <c r="W15" s="234"/>
      <c r="X15" s="234"/>
      <c r="Y15" s="238"/>
      <c r="Z15" s="234"/>
      <c r="AA15" s="234"/>
      <c r="AB15" s="234"/>
      <c r="AC15" s="238"/>
      <c r="AD15" s="234"/>
      <c r="AE15" s="234"/>
      <c r="AF15" s="234"/>
      <c r="AG15" s="238"/>
      <c r="AH15" s="201"/>
      <c r="AI15" s="241"/>
      <c r="AJ15" s="238"/>
      <c r="AK15" s="234"/>
      <c r="AL15" s="203"/>
      <c r="AM15" s="242">
        <f>SUM(K15:M15)</f>
        <v>65051</v>
      </c>
      <c r="AN15" s="254">
        <f>+'9 CWM UK and Europe'!AN14</f>
        <v>65051</v>
      </c>
      <c r="AO15" s="254">
        <f>AR15-AS15</f>
        <v>89770</v>
      </c>
      <c r="AP15" s="149" t="s">
        <v>44</v>
      </c>
      <c r="AQ15" s="245"/>
      <c r="AR15" s="379">
        <f>SUM(J15:M15)</f>
        <v>91757</v>
      </c>
      <c r="AS15" s="379">
        <f>SUM(N15:Q15)</f>
        <v>1987</v>
      </c>
      <c r="AT15" s="557">
        <v>0</v>
      </c>
      <c r="AU15" s="765">
        <v>0</v>
      </c>
      <c r="AV15" s="765">
        <v>0</v>
      </c>
      <c r="AW15" s="766">
        <v>0</v>
      </c>
      <c r="AX15" s="207"/>
      <c r="AY15" s="43"/>
      <c r="AZ15" s="43"/>
      <c r="BA15" s="38"/>
      <c r="BB15" s="25"/>
      <c r="BC15" s="3"/>
      <c r="BD15" s="3"/>
      <c r="BG15" s="3"/>
    </row>
    <row r="16" spans="1:59" ht="12.75" customHeight="1">
      <c r="A16" s="8"/>
      <c r="B16" s="7"/>
      <c r="C16" s="246" t="e">
        <f>I16-M16</f>
        <v>#REF!</v>
      </c>
      <c r="D16" s="170" t="e">
        <f>IF(OR((C16/M16)&gt;3,(C16/M16)&lt;-3),"n.m.",(C16/M16))</f>
        <v>#REF!</v>
      </c>
      <c r="E16" s="592"/>
      <c r="F16" s="248" t="e">
        <f aca="true" t="shared" si="0" ref="F16:N16">SUM(F14:F15)</f>
        <v>#REF!</v>
      </c>
      <c r="G16" s="248" t="e">
        <f t="shared" si="0"/>
        <v>#REF!</v>
      </c>
      <c r="H16" s="248" t="e">
        <f t="shared" si="0"/>
        <v>#REF!</v>
      </c>
      <c r="I16" s="248" t="e">
        <f t="shared" si="0"/>
        <v>#REF!</v>
      </c>
      <c r="J16" s="247" t="e">
        <f t="shared" si="0"/>
        <v>#REF!</v>
      </c>
      <c r="K16" s="248" t="e">
        <f t="shared" si="0"/>
        <v>#REF!</v>
      </c>
      <c r="L16" s="248" t="e">
        <f t="shared" si="0"/>
        <v>#REF!</v>
      </c>
      <c r="M16" s="249" t="e">
        <f t="shared" si="0"/>
        <v>#REF!</v>
      </c>
      <c r="N16" s="248" t="e">
        <f t="shared" si="0"/>
        <v>#REF!</v>
      </c>
      <c r="O16" s="248">
        <f>O14</f>
        <v>12748</v>
      </c>
      <c r="P16" s="248">
        <f>SUM(P14)</f>
        <v>9338</v>
      </c>
      <c r="Q16" s="249">
        <f>SUM(Q14)</f>
        <v>9246</v>
      </c>
      <c r="R16" s="248">
        <f aca="true" t="shared" si="1" ref="R16:AX16">SUM(R14)</f>
        <v>34555</v>
      </c>
      <c r="S16" s="248">
        <f t="shared" si="1"/>
        <v>23339</v>
      </c>
      <c r="T16" s="248">
        <f t="shared" si="1"/>
        <v>18338</v>
      </c>
      <c r="U16" s="249">
        <f t="shared" si="1"/>
        <v>16445</v>
      </c>
      <c r="V16" s="248">
        <f t="shared" si="1"/>
        <v>21333</v>
      </c>
      <c r="W16" s="248">
        <f t="shared" si="1"/>
        <v>26421</v>
      </c>
      <c r="X16" s="248">
        <f t="shared" si="1"/>
        <v>13775</v>
      </c>
      <c r="Y16" s="249">
        <f t="shared" si="1"/>
        <v>20925</v>
      </c>
      <c r="Z16" s="248">
        <f t="shared" si="1"/>
        <v>0</v>
      </c>
      <c r="AA16" s="248">
        <f t="shared" si="1"/>
        <v>0</v>
      </c>
      <c r="AB16" s="248">
        <f t="shared" si="1"/>
        <v>0</v>
      </c>
      <c r="AC16" s="249">
        <f t="shared" si="1"/>
        <v>0</v>
      </c>
      <c r="AD16" s="248">
        <f t="shared" si="1"/>
        <v>0</v>
      </c>
      <c r="AE16" s="248">
        <f t="shared" si="1"/>
        <v>0</v>
      </c>
      <c r="AF16" s="248">
        <f t="shared" si="1"/>
        <v>0</v>
      </c>
      <c r="AG16" s="249">
        <f t="shared" si="1"/>
        <v>0</v>
      </c>
      <c r="AH16" s="202">
        <f t="shared" si="1"/>
        <v>0</v>
      </c>
      <c r="AI16" s="249">
        <f t="shared" si="1"/>
        <v>0</v>
      </c>
      <c r="AJ16" s="249">
        <f t="shared" si="1"/>
        <v>0</v>
      </c>
      <c r="AK16" s="248">
        <f t="shared" si="1"/>
        <v>0</v>
      </c>
      <c r="AL16" s="203"/>
      <c r="AM16" s="246" t="e">
        <f>SUM(AM14:AM15)</f>
        <v>#REF!</v>
      </c>
      <c r="AN16" s="381">
        <f>SUM(AN14)</f>
        <v>31332</v>
      </c>
      <c r="AO16" s="381" t="e">
        <f>+AR16-AS16</f>
        <v>#REF!</v>
      </c>
      <c r="AP16" s="149" t="e">
        <f>IF(OR((AO16/AS16)&gt;3,(AO16/AS16)&lt;-3),"n.m.",(AO16/AS16))</f>
        <v>#REF!</v>
      </c>
      <c r="AQ16" s="245"/>
      <c r="AR16" s="386" t="e">
        <f>SUM(AR14:AR15)</f>
        <v>#REF!</v>
      </c>
      <c r="AS16" s="386" t="e">
        <f>SUM(AS14:AS15)</f>
        <v>#REF!</v>
      </c>
      <c r="AT16" s="386">
        <f t="shared" si="1"/>
        <v>92677</v>
      </c>
      <c r="AU16" s="202">
        <f t="shared" si="1"/>
        <v>82454</v>
      </c>
      <c r="AV16" s="202">
        <f t="shared" si="1"/>
        <v>72926</v>
      </c>
      <c r="AW16" s="202">
        <f t="shared" si="1"/>
        <v>118332</v>
      </c>
      <c r="AX16" s="202">
        <f t="shared" si="1"/>
        <v>129852</v>
      </c>
      <c r="AY16" s="355">
        <v>125900</v>
      </c>
      <c r="AZ16" s="355">
        <v>116090</v>
      </c>
      <c r="BA16" s="169">
        <v>84489</v>
      </c>
      <c r="BB16" s="25"/>
      <c r="BC16" s="3"/>
      <c r="BD16" s="3"/>
      <c r="BG16" s="3"/>
    </row>
    <row r="17" spans="1:59" ht="12.75" customHeight="1">
      <c r="A17" s="142" t="s">
        <v>5</v>
      </c>
      <c r="B17" s="7"/>
      <c r="C17" s="242"/>
      <c r="D17" s="30"/>
      <c r="E17" s="592"/>
      <c r="F17" s="234"/>
      <c r="G17" s="234"/>
      <c r="H17" s="234"/>
      <c r="I17" s="234"/>
      <c r="J17" s="237"/>
      <c r="K17" s="234"/>
      <c r="L17" s="234"/>
      <c r="M17" s="238"/>
      <c r="N17" s="234"/>
      <c r="O17" s="234"/>
      <c r="P17" s="234"/>
      <c r="Q17" s="238"/>
      <c r="R17" s="234"/>
      <c r="S17" s="234"/>
      <c r="T17" s="234"/>
      <c r="U17" s="238"/>
      <c r="V17" s="234"/>
      <c r="W17" s="234"/>
      <c r="X17" s="234"/>
      <c r="Y17" s="238"/>
      <c r="Z17" s="234"/>
      <c r="AA17" s="234"/>
      <c r="AB17" s="234"/>
      <c r="AC17" s="238"/>
      <c r="AD17" s="234"/>
      <c r="AE17" s="234"/>
      <c r="AF17" s="234"/>
      <c r="AG17" s="238"/>
      <c r="AH17" s="201"/>
      <c r="AI17" s="238"/>
      <c r="AJ17" s="238"/>
      <c r="AK17" s="238"/>
      <c r="AL17" s="203"/>
      <c r="AM17" s="242"/>
      <c r="AN17" s="254"/>
      <c r="AO17" s="254"/>
      <c r="AP17" s="30"/>
      <c r="AQ17" s="245"/>
      <c r="AR17" s="379"/>
      <c r="AS17" s="379"/>
      <c r="AT17" s="379"/>
      <c r="AU17" s="203"/>
      <c r="AV17" s="203"/>
      <c r="AW17" s="201"/>
      <c r="AX17" s="201"/>
      <c r="AY17" s="43"/>
      <c r="AZ17" s="43"/>
      <c r="BA17" s="38"/>
      <c r="BB17" s="25"/>
      <c r="BC17" s="3"/>
      <c r="BD17" s="3"/>
      <c r="BG17" s="3"/>
    </row>
    <row r="18" spans="1:59" ht="12.75" customHeight="1">
      <c r="A18" s="142"/>
      <c r="B18" s="7" t="s">
        <v>403</v>
      </c>
      <c r="C18" s="242">
        <f aca="true" t="shared" si="2" ref="C18:C33">I18-M18</f>
        <v>5562.653569732589</v>
      </c>
      <c r="D18" s="30">
        <f aca="true" t="shared" si="3" ref="D18:D30">IF(OR((C18/M18)&gt;3,(C18/M18)&lt;-3),"n.m.",(C18/M18))</f>
        <v>0.3050202099979486</v>
      </c>
      <c r="E18" s="592"/>
      <c r="F18" s="234"/>
      <c r="G18" s="234"/>
      <c r="H18" s="234"/>
      <c r="I18" s="238">
        <f>25210*(1-(I21/I22))</f>
        <v>23799.65356973259</v>
      </c>
      <c r="J18" s="234">
        <f>32761*(1-(J21/J22))</f>
        <v>31708.91890037298</v>
      </c>
      <c r="K18" s="234">
        <f>29932*(1-(K21/K22))-0.5</f>
        <v>28999.68325586686</v>
      </c>
      <c r="L18" s="234">
        <v>27586</v>
      </c>
      <c r="M18" s="238">
        <v>18237</v>
      </c>
      <c r="N18" s="234">
        <v>15530</v>
      </c>
      <c r="O18" s="234">
        <v>4940</v>
      </c>
      <c r="P18" s="234">
        <v>5136</v>
      </c>
      <c r="Q18" s="238">
        <v>4653</v>
      </c>
      <c r="R18" s="234">
        <v>17347</v>
      </c>
      <c r="S18" s="234">
        <v>10930</v>
      </c>
      <c r="T18" s="234">
        <v>8777</v>
      </c>
      <c r="U18" s="238"/>
      <c r="V18" s="234"/>
      <c r="W18" s="234"/>
      <c r="X18" s="234"/>
      <c r="Y18" s="238"/>
      <c r="Z18" s="234"/>
      <c r="AA18" s="234"/>
      <c r="AB18" s="234"/>
      <c r="AC18" s="238"/>
      <c r="AD18" s="234"/>
      <c r="AE18" s="234"/>
      <c r="AF18" s="234"/>
      <c r="AG18" s="238"/>
      <c r="AH18" s="201"/>
      <c r="AI18" s="238"/>
      <c r="AJ18" s="238"/>
      <c r="AK18" s="238"/>
      <c r="AL18" s="203"/>
      <c r="AM18" s="242">
        <f>SUM(K18:M18)</f>
        <v>74822.68325586687</v>
      </c>
      <c r="AN18" s="254">
        <f aca="true" t="shared" si="4" ref="AN18:AN30">SUM(O18:Q18)</f>
        <v>14729</v>
      </c>
      <c r="AO18" s="254">
        <f aca="true" t="shared" si="5" ref="AO18:AO33">AR18-AS18</f>
        <v>76282.60215623984</v>
      </c>
      <c r="AP18" s="30">
        <f aca="true" t="shared" si="6" ref="AP18:AP33">IF(OR((AO18/AS18)&gt;3,(AO18/AS18)&lt;-3),"n.m.",(AO18/AS18))</f>
        <v>2.521822280281657</v>
      </c>
      <c r="AQ18" s="245"/>
      <c r="AR18" s="738">
        <f>SUM(J18:M18)</f>
        <v>106531.60215623984</v>
      </c>
      <c r="AS18" s="738">
        <v>30249</v>
      </c>
      <c r="AT18" s="738">
        <v>43961</v>
      </c>
      <c r="AU18" s="857">
        <v>41083</v>
      </c>
      <c r="AV18" s="857">
        <v>32542</v>
      </c>
      <c r="AW18" s="201">
        <v>55744</v>
      </c>
      <c r="AX18" s="201"/>
      <c r="AY18" s="43"/>
      <c r="AZ18" s="43"/>
      <c r="BA18" s="38"/>
      <c r="BB18" s="25"/>
      <c r="BC18" s="3"/>
      <c r="BD18" s="3"/>
      <c r="BG18" s="3"/>
    </row>
    <row r="19" spans="1:59" ht="12.75" customHeight="1">
      <c r="A19" s="142"/>
      <c r="B19" s="7" t="s">
        <v>404</v>
      </c>
      <c r="C19" s="250">
        <f t="shared" si="2"/>
        <v>-3864.4611675325887</v>
      </c>
      <c r="D19" s="149">
        <f t="shared" si="3"/>
        <v>-0.5849926078614273</v>
      </c>
      <c r="E19" s="592"/>
      <c r="F19" s="240"/>
      <c r="G19" s="240"/>
      <c r="H19" s="240"/>
      <c r="I19" s="241">
        <f>2904*(1-(I21/I22))</f>
        <v>2741.5388324674113</v>
      </c>
      <c r="J19" s="240">
        <f>3429*(1-(J21/J22))</f>
        <v>3318.8816858270184</v>
      </c>
      <c r="K19" s="240">
        <f>3687*(1-(K21/K22))</f>
        <v>3572.219553133139</v>
      </c>
      <c r="L19" s="240">
        <v>3358</v>
      </c>
      <c r="M19" s="241">
        <v>6606</v>
      </c>
      <c r="N19" s="240">
        <v>-1363</v>
      </c>
      <c r="O19" s="240">
        <v>990</v>
      </c>
      <c r="P19" s="240">
        <v>783</v>
      </c>
      <c r="Q19" s="241">
        <v>1028</v>
      </c>
      <c r="R19" s="240">
        <v>-508</v>
      </c>
      <c r="S19" s="240">
        <v>1616</v>
      </c>
      <c r="T19" s="240">
        <v>445</v>
      </c>
      <c r="U19" s="238"/>
      <c r="V19" s="234"/>
      <c r="W19" s="234"/>
      <c r="X19" s="234"/>
      <c r="Y19" s="238"/>
      <c r="Z19" s="234"/>
      <c r="AA19" s="234"/>
      <c r="AB19" s="234"/>
      <c r="AC19" s="238"/>
      <c r="AD19" s="234"/>
      <c r="AE19" s="234"/>
      <c r="AF19" s="234"/>
      <c r="AG19" s="238"/>
      <c r="AH19" s="201"/>
      <c r="AI19" s="238"/>
      <c r="AJ19" s="238"/>
      <c r="AK19" s="238"/>
      <c r="AL19" s="203"/>
      <c r="AM19" s="250">
        <f aca="true" t="shared" si="7" ref="AM19:AM30">SUM(K19:M19)</f>
        <v>13536.219553133138</v>
      </c>
      <c r="AN19" s="385">
        <f t="shared" si="4"/>
        <v>2801</v>
      </c>
      <c r="AO19" s="385">
        <f t="shared" si="5"/>
        <v>15406.101238960156</v>
      </c>
      <c r="AP19" s="149" t="str">
        <f t="shared" si="6"/>
        <v>n.m.</v>
      </c>
      <c r="AQ19" s="245"/>
      <c r="AR19" s="717">
        <f>SUM(J19:M19)</f>
        <v>16855.101238960156</v>
      </c>
      <c r="AS19" s="717">
        <v>1449</v>
      </c>
      <c r="AT19" s="717">
        <v>2297</v>
      </c>
      <c r="AU19" s="865">
        <v>3323</v>
      </c>
      <c r="AV19" s="865">
        <v>1879</v>
      </c>
      <c r="AW19" s="207">
        <v>3963</v>
      </c>
      <c r="AX19" s="201"/>
      <c r="AY19" s="43"/>
      <c r="AZ19" s="43"/>
      <c r="BA19" s="38"/>
      <c r="BB19" s="25"/>
      <c r="BC19" s="3"/>
      <c r="BD19" s="3"/>
      <c r="BG19" s="3"/>
    </row>
    <row r="20" spans="1:59" ht="12.75" customHeight="1">
      <c r="A20" s="8"/>
      <c r="B20" s="83" t="s">
        <v>450</v>
      </c>
      <c r="C20" s="242">
        <f t="shared" si="2"/>
        <v>1697.833051200003</v>
      </c>
      <c r="D20" s="30">
        <f t="shared" si="3"/>
        <v>0.06834152447791492</v>
      </c>
      <c r="E20" s="592"/>
      <c r="F20" s="234"/>
      <c r="G20" s="234"/>
      <c r="H20" s="234"/>
      <c r="I20" s="238">
        <f>+I18+I19</f>
        <v>26541.192402200002</v>
      </c>
      <c r="J20" s="234">
        <f>+J18+J19</f>
        <v>35027.8005862</v>
      </c>
      <c r="K20" s="234">
        <f>+K18+K19</f>
        <v>32571.902809</v>
      </c>
      <c r="L20" s="234">
        <f>+L22-L21</f>
        <v>30944.1197996</v>
      </c>
      <c r="M20" s="238">
        <f>+M22-M21</f>
        <v>24843.359351</v>
      </c>
      <c r="N20" s="234">
        <f>N22-N21</f>
        <v>14167.216553833334</v>
      </c>
      <c r="O20" s="234">
        <f>O22-O21</f>
        <v>5930.257002166667</v>
      </c>
      <c r="P20" s="234">
        <f>P22-P21</f>
        <v>5918.903350566667</v>
      </c>
      <c r="Q20" s="238">
        <f>Q22-Q21</f>
        <v>5681.4430129</v>
      </c>
      <c r="R20" s="234">
        <f aca="true" t="shared" si="8" ref="R20:AX20">R22-R21</f>
        <v>16839.491104</v>
      </c>
      <c r="S20" s="234">
        <f t="shared" si="8"/>
        <v>12546.475937666666</v>
      </c>
      <c r="T20" s="234">
        <f t="shared" si="8"/>
        <v>9221.574207733333</v>
      </c>
      <c r="U20" s="238">
        <f t="shared" si="8"/>
        <v>7649.9590928</v>
      </c>
      <c r="V20" s="234">
        <f t="shared" si="8"/>
        <v>10824</v>
      </c>
      <c r="W20" s="234">
        <f t="shared" si="8"/>
        <v>15065</v>
      </c>
      <c r="X20" s="234">
        <f t="shared" si="8"/>
        <v>7942</v>
      </c>
      <c r="Y20" s="238">
        <f t="shared" si="8"/>
        <v>10575</v>
      </c>
      <c r="Z20" s="234">
        <f t="shared" si="8"/>
        <v>-349</v>
      </c>
      <c r="AA20" s="234">
        <f t="shared" si="8"/>
        <v>-422</v>
      </c>
      <c r="AB20" s="234">
        <f t="shared" si="8"/>
        <v>-405</v>
      </c>
      <c r="AC20" s="238">
        <f t="shared" si="8"/>
        <v>-383</v>
      </c>
      <c r="AD20" s="234">
        <f t="shared" si="8"/>
        <v>-422</v>
      </c>
      <c r="AE20" s="234">
        <f t="shared" si="8"/>
        <v>-392</v>
      </c>
      <c r="AF20" s="234">
        <f t="shared" si="8"/>
        <v>-369</v>
      </c>
      <c r="AG20" s="238">
        <f t="shared" si="8"/>
        <v>-388</v>
      </c>
      <c r="AH20" s="201">
        <f t="shared" si="8"/>
        <v>-933</v>
      </c>
      <c r="AI20" s="238">
        <f t="shared" si="8"/>
        <v>-548</v>
      </c>
      <c r="AJ20" s="238">
        <f t="shared" si="8"/>
        <v>-629</v>
      </c>
      <c r="AK20" s="238">
        <f t="shared" si="8"/>
        <v>-1404</v>
      </c>
      <c r="AL20" s="203"/>
      <c r="AM20" s="242">
        <f t="shared" si="7"/>
        <v>88359.3819596</v>
      </c>
      <c r="AN20" s="254">
        <f t="shared" si="4"/>
        <v>17530.603365633335</v>
      </c>
      <c r="AO20" s="254">
        <f t="shared" si="5"/>
        <v>91688.88347573332</v>
      </c>
      <c r="AP20" s="30">
        <f t="shared" si="6"/>
        <v>2.8925927306257484</v>
      </c>
      <c r="AQ20" s="245"/>
      <c r="AR20" s="379">
        <f>AR18+AR19</f>
        <v>123386.70339519999</v>
      </c>
      <c r="AS20" s="379">
        <f>AS22-AS21</f>
        <v>31697.819919466667</v>
      </c>
      <c r="AT20" s="379">
        <f t="shared" si="8"/>
        <v>46257.5003422</v>
      </c>
      <c r="AU20" s="201">
        <f t="shared" si="8"/>
        <v>44406</v>
      </c>
      <c r="AV20" s="201">
        <f t="shared" si="8"/>
        <v>34421</v>
      </c>
      <c r="AW20" s="201">
        <f t="shared" si="8"/>
        <v>59707</v>
      </c>
      <c r="AX20" s="201">
        <f t="shared" si="8"/>
        <v>68799</v>
      </c>
      <c r="AY20" s="43">
        <v>65303</v>
      </c>
      <c r="AZ20" s="43">
        <v>62316</v>
      </c>
      <c r="BA20" s="38">
        <v>51311</v>
      </c>
      <c r="BB20" s="25"/>
      <c r="BC20" s="3"/>
      <c r="BD20" s="3"/>
      <c r="BG20" s="3"/>
    </row>
    <row r="21" spans="1:59" ht="12.75" customHeight="1">
      <c r="A21" s="8"/>
      <c r="B21" s="83" t="s">
        <v>395</v>
      </c>
      <c r="C21" s="250">
        <f t="shared" si="2"/>
        <v>234.16694879999977</v>
      </c>
      <c r="D21" s="149">
        <f t="shared" si="3"/>
        <v>0.1749289093939652</v>
      </c>
      <c r="E21" s="592"/>
      <c r="F21" s="240"/>
      <c r="G21" s="240"/>
      <c r="H21" s="240"/>
      <c r="I21" s="241">
        <f>+NHI!B112/1000</f>
        <v>1572.8075978</v>
      </c>
      <c r="J21" s="240">
        <f>+NHI!E97/1000</f>
        <v>1162.1994138</v>
      </c>
      <c r="K21" s="240">
        <f>+NHI!D95/1000</f>
        <v>1046.597191</v>
      </c>
      <c r="L21" s="240">
        <f>+NHI!C97/1000</f>
        <v>1346.8802004</v>
      </c>
      <c r="M21" s="241">
        <f>+NHI!B97/1000</f>
        <v>1338.6406490000002</v>
      </c>
      <c r="N21" s="240">
        <f>NHI!E83/1000</f>
        <v>1181.7834461666666</v>
      </c>
      <c r="O21" s="240">
        <f>NHI!D83/1000</f>
        <v>498.74299783333333</v>
      </c>
      <c r="P21" s="240">
        <f>'[3]NHI'!C83/1000</f>
        <v>542.0966494333333</v>
      </c>
      <c r="Q21" s="241">
        <f>'[3]NHI'!B83/1000</f>
        <v>527.5569871</v>
      </c>
      <c r="R21" s="240">
        <v>418.508896</v>
      </c>
      <c r="S21" s="240">
        <v>422.5240623333333</v>
      </c>
      <c r="T21" s="240">
        <v>430.42579226666663</v>
      </c>
      <c r="U21" s="241">
        <v>388.0409072</v>
      </c>
      <c r="V21" s="240">
        <v>380</v>
      </c>
      <c r="W21" s="240">
        <v>456</v>
      </c>
      <c r="X21" s="240">
        <v>371</v>
      </c>
      <c r="Y21" s="241">
        <v>362</v>
      </c>
      <c r="Z21" s="240">
        <v>349</v>
      </c>
      <c r="AA21" s="240">
        <v>422</v>
      </c>
      <c r="AB21" s="240">
        <v>405</v>
      </c>
      <c r="AC21" s="241">
        <v>383</v>
      </c>
      <c r="AD21" s="240">
        <v>422</v>
      </c>
      <c r="AE21" s="240">
        <v>392</v>
      </c>
      <c r="AF21" s="240">
        <v>369</v>
      </c>
      <c r="AG21" s="241">
        <v>388</v>
      </c>
      <c r="AH21" s="201">
        <v>933</v>
      </c>
      <c r="AI21" s="238">
        <v>548</v>
      </c>
      <c r="AJ21" s="241">
        <v>629</v>
      </c>
      <c r="AK21" s="241">
        <v>1404</v>
      </c>
      <c r="AL21" s="203"/>
      <c r="AM21" s="250">
        <f t="shared" si="7"/>
        <v>3732.1180403999997</v>
      </c>
      <c r="AN21" s="385">
        <f t="shared" si="4"/>
        <v>1568.3966343666666</v>
      </c>
      <c r="AO21" s="385">
        <f t="shared" si="5"/>
        <v>2144.1373736666665</v>
      </c>
      <c r="AP21" s="149">
        <f t="shared" si="6"/>
        <v>0.7796352641936309</v>
      </c>
      <c r="AQ21" s="245"/>
      <c r="AR21" s="250">
        <f>SUM(J21:M21)</f>
        <v>4894.3174542</v>
      </c>
      <c r="AS21" s="250">
        <f>SUM(N21:Q21)</f>
        <v>2750.1800805333332</v>
      </c>
      <c r="AT21" s="250">
        <v>1659.4996577999998</v>
      </c>
      <c r="AU21" s="207">
        <v>1569</v>
      </c>
      <c r="AV21" s="207">
        <v>1559</v>
      </c>
      <c r="AW21" s="207">
        <v>1571</v>
      </c>
      <c r="AX21" s="207">
        <v>3514</v>
      </c>
      <c r="AY21" s="43">
        <v>3586</v>
      </c>
      <c r="AZ21" s="160">
        <v>3711</v>
      </c>
      <c r="BA21" s="471">
        <v>2665</v>
      </c>
      <c r="BB21" s="25"/>
      <c r="BC21" s="3"/>
      <c r="BD21" s="3"/>
      <c r="BG21" s="3"/>
    </row>
    <row r="22" spans="1:59" ht="12.75" customHeight="1">
      <c r="A22" s="8"/>
      <c r="B22" s="83" t="s">
        <v>105</v>
      </c>
      <c r="C22" s="242">
        <f t="shared" si="2"/>
        <v>1932</v>
      </c>
      <c r="D22" s="30">
        <f t="shared" si="3"/>
        <v>0.07379115422809564</v>
      </c>
      <c r="E22" s="592"/>
      <c r="F22" s="234"/>
      <c r="G22" s="234"/>
      <c r="H22" s="234"/>
      <c r="I22" s="238">
        <v>28114</v>
      </c>
      <c r="J22" s="234">
        <v>36190</v>
      </c>
      <c r="K22" s="234">
        <v>33619</v>
      </c>
      <c r="L22" s="234">
        <v>32291</v>
      </c>
      <c r="M22" s="238">
        <v>26182</v>
      </c>
      <c r="N22" s="234">
        <v>15349</v>
      </c>
      <c r="O22" s="234">
        <v>6429</v>
      </c>
      <c r="P22" s="234">
        <v>6461</v>
      </c>
      <c r="Q22" s="238">
        <v>6209</v>
      </c>
      <c r="R22" s="234">
        <v>17258</v>
      </c>
      <c r="S22" s="234">
        <v>12969</v>
      </c>
      <c r="T22" s="234">
        <v>9652</v>
      </c>
      <c r="U22" s="238">
        <v>8038</v>
      </c>
      <c r="V22" s="234">
        <v>11204</v>
      </c>
      <c r="W22" s="234">
        <v>15521</v>
      </c>
      <c r="X22" s="234">
        <v>8313</v>
      </c>
      <c r="Y22" s="238">
        <v>10937</v>
      </c>
      <c r="Z22" s="234"/>
      <c r="AA22" s="234"/>
      <c r="AB22" s="234"/>
      <c r="AC22" s="238"/>
      <c r="AD22" s="234"/>
      <c r="AE22" s="234"/>
      <c r="AF22" s="234"/>
      <c r="AG22" s="238"/>
      <c r="AH22" s="257"/>
      <c r="AI22" s="236"/>
      <c r="AJ22" s="238"/>
      <c r="AK22" s="238"/>
      <c r="AL22" s="203"/>
      <c r="AM22" s="242">
        <f t="shared" si="7"/>
        <v>92092</v>
      </c>
      <c r="AN22" s="254">
        <f t="shared" si="4"/>
        <v>19099</v>
      </c>
      <c r="AO22" s="254">
        <f t="shared" si="5"/>
        <v>93834</v>
      </c>
      <c r="AP22" s="30">
        <f t="shared" si="6"/>
        <v>2.723931723176962</v>
      </c>
      <c r="AQ22" s="245"/>
      <c r="AR22" s="379">
        <f>SUM(J22:M22)</f>
        <v>128282</v>
      </c>
      <c r="AS22" s="379">
        <f>SUM(N22:Q22)</f>
        <v>34448</v>
      </c>
      <c r="AT22" s="379">
        <v>47917</v>
      </c>
      <c r="AU22" s="201">
        <v>45975</v>
      </c>
      <c r="AV22" s="201">
        <v>35980</v>
      </c>
      <c r="AW22" s="201">
        <v>61278</v>
      </c>
      <c r="AX22" s="201">
        <v>72313</v>
      </c>
      <c r="AY22" s="360">
        <v>68889</v>
      </c>
      <c r="AZ22" s="360">
        <v>66027</v>
      </c>
      <c r="BA22" s="538">
        <v>53976</v>
      </c>
      <c r="BB22" s="25"/>
      <c r="BC22" s="3"/>
      <c r="BD22" s="3"/>
      <c r="BG22" s="3"/>
    </row>
    <row r="23" spans="1:59" ht="12.75" customHeight="1">
      <c r="A23" s="8"/>
      <c r="B23" s="83" t="s">
        <v>74</v>
      </c>
      <c r="C23" s="242">
        <f t="shared" si="2"/>
        <v>495</v>
      </c>
      <c r="D23" s="30">
        <f t="shared" si="3"/>
        <v>0.07421289355322339</v>
      </c>
      <c r="E23" s="592"/>
      <c r="F23" s="234"/>
      <c r="G23" s="234"/>
      <c r="H23" s="234"/>
      <c r="I23" s="238">
        <v>7165</v>
      </c>
      <c r="J23" s="234">
        <v>6332</v>
      </c>
      <c r="K23" s="234">
        <v>6565</v>
      </c>
      <c r="L23" s="234">
        <v>5761</v>
      </c>
      <c r="M23" s="238">
        <v>6670</v>
      </c>
      <c r="N23" s="234">
        <v>1917</v>
      </c>
      <c r="O23" s="234">
        <f>1663-410</f>
        <v>1253</v>
      </c>
      <c r="P23" s="234">
        <v>1213</v>
      </c>
      <c r="Q23" s="238">
        <v>1267</v>
      </c>
      <c r="R23" s="234">
        <v>1248</v>
      </c>
      <c r="S23" s="234">
        <v>1303</v>
      </c>
      <c r="T23" s="234">
        <v>1255</v>
      </c>
      <c r="U23" s="238">
        <v>1242</v>
      </c>
      <c r="V23" s="234">
        <v>1904</v>
      </c>
      <c r="W23" s="234">
        <v>1672</v>
      </c>
      <c r="X23" s="234">
        <v>1396</v>
      </c>
      <c r="Y23" s="238">
        <v>1473</v>
      </c>
      <c r="Z23" s="234"/>
      <c r="AA23" s="234"/>
      <c r="AB23" s="234"/>
      <c r="AC23" s="238"/>
      <c r="AD23" s="234"/>
      <c r="AE23" s="234"/>
      <c r="AF23" s="234"/>
      <c r="AG23" s="238"/>
      <c r="AH23" s="201"/>
      <c r="AI23" s="238"/>
      <c r="AJ23" s="238"/>
      <c r="AK23" s="238"/>
      <c r="AL23" s="203"/>
      <c r="AM23" s="242">
        <f t="shared" si="7"/>
        <v>18996</v>
      </c>
      <c r="AN23" s="254">
        <f t="shared" si="4"/>
        <v>3733</v>
      </c>
      <c r="AO23" s="254">
        <f t="shared" si="5"/>
        <v>19678</v>
      </c>
      <c r="AP23" s="30" t="str">
        <f t="shared" si="6"/>
        <v>n.m.</v>
      </c>
      <c r="AQ23" s="245"/>
      <c r="AR23" s="43">
        <f>SUM(J23:M23)</f>
        <v>25328</v>
      </c>
      <c r="AS23" s="43">
        <f aca="true" t="shared" si="9" ref="AS23:AS30">SUM(N23:Q23)</f>
        <v>5650</v>
      </c>
      <c r="AT23" s="43">
        <f>SUM(R23:U23)</f>
        <v>5048</v>
      </c>
      <c r="AU23" s="43">
        <f>SUM(V23:Y23)</f>
        <v>6445</v>
      </c>
      <c r="AV23" s="201">
        <v>5563</v>
      </c>
      <c r="AW23" s="201">
        <v>4547</v>
      </c>
      <c r="AX23" s="201">
        <v>3100</v>
      </c>
      <c r="AY23" s="43">
        <v>3210</v>
      </c>
      <c r="AZ23" s="43">
        <v>8795</v>
      </c>
      <c r="BA23" s="38">
        <v>5858</v>
      </c>
      <c r="BB23" s="25"/>
      <c r="BC23" s="3"/>
      <c r="BD23" s="3"/>
      <c r="BG23" s="3"/>
    </row>
    <row r="24" spans="1:59" ht="12.75" customHeight="1" hidden="1">
      <c r="A24" s="8"/>
      <c r="B24" s="7" t="s">
        <v>231</v>
      </c>
      <c r="C24" s="242">
        <f t="shared" si="2"/>
        <v>0</v>
      </c>
      <c r="D24" s="30" t="e">
        <f t="shared" si="3"/>
        <v>#DIV/0!</v>
      </c>
      <c r="E24" s="592"/>
      <c r="F24" s="31"/>
      <c r="G24" s="31"/>
      <c r="H24" s="31"/>
      <c r="I24" s="28"/>
      <c r="J24" s="31"/>
      <c r="K24" s="31"/>
      <c r="L24" s="31"/>
      <c r="M24" s="28"/>
      <c r="N24" s="31"/>
      <c r="O24" s="31"/>
      <c r="P24" s="31"/>
      <c r="Q24" s="28"/>
      <c r="R24" s="31"/>
      <c r="S24" s="31"/>
      <c r="T24" s="31"/>
      <c r="U24" s="28"/>
      <c r="V24" s="31"/>
      <c r="W24" s="31"/>
      <c r="X24" s="31"/>
      <c r="Y24" s="28"/>
      <c r="Z24" s="31"/>
      <c r="AA24" s="31"/>
      <c r="AB24" s="31"/>
      <c r="AC24" s="28"/>
      <c r="AD24" s="234"/>
      <c r="AE24" s="234"/>
      <c r="AF24" s="234"/>
      <c r="AG24" s="238"/>
      <c r="AH24" s="201"/>
      <c r="AI24" s="238"/>
      <c r="AJ24" s="238"/>
      <c r="AK24" s="238"/>
      <c r="AL24" s="203"/>
      <c r="AM24" s="242">
        <f t="shared" si="7"/>
        <v>0</v>
      </c>
      <c r="AN24" s="254">
        <f t="shared" si="4"/>
        <v>0</v>
      </c>
      <c r="AO24" s="254">
        <f t="shared" si="5"/>
        <v>0</v>
      </c>
      <c r="AP24" s="30" t="e">
        <f t="shared" si="6"/>
        <v>#DIV/0!</v>
      </c>
      <c r="AQ24" s="243"/>
      <c r="AR24" s="43">
        <f aca="true" t="shared" si="10" ref="AR24:AR33">SUM(J24:M24)</f>
        <v>0</v>
      </c>
      <c r="AS24" s="43">
        <f t="shared" si="9"/>
        <v>0</v>
      </c>
      <c r="AT24" s="43">
        <f aca="true" t="shared" si="11" ref="AT24:AT30">SUM(R24:U24)</f>
        <v>0</v>
      </c>
      <c r="AU24" s="43">
        <f aca="true" t="shared" si="12" ref="AU24:AU30">SUM(V24:Y24)</f>
        <v>0</v>
      </c>
      <c r="AV24" s="43"/>
      <c r="AW24" s="43"/>
      <c r="AX24" s="43"/>
      <c r="AY24" s="43">
        <v>0</v>
      </c>
      <c r="AZ24" s="43"/>
      <c r="BA24" s="38"/>
      <c r="BB24" s="25"/>
      <c r="BC24" s="3"/>
      <c r="BD24" s="3"/>
      <c r="BG24" s="3"/>
    </row>
    <row r="25" spans="1:59" ht="12.75" customHeight="1">
      <c r="A25" s="8"/>
      <c r="B25" s="83" t="s">
        <v>104</v>
      </c>
      <c r="C25" s="242">
        <f t="shared" si="2"/>
        <v>353</v>
      </c>
      <c r="D25" s="30">
        <f t="shared" si="3"/>
        <v>0.20825958702064898</v>
      </c>
      <c r="E25" s="592"/>
      <c r="F25" s="234"/>
      <c r="G25" s="234"/>
      <c r="H25" s="234"/>
      <c r="I25" s="238">
        <v>2048</v>
      </c>
      <c r="J25" s="234">
        <v>1918</v>
      </c>
      <c r="K25" s="234">
        <v>1819</v>
      </c>
      <c r="L25" s="234">
        <v>1582</v>
      </c>
      <c r="M25" s="238">
        <v>1695</v>
      </c>
      <c r="N25" s="234">
        <v>742</v>
      </c>
      <c r="O25" s="234">
        <v>809</v>
      </c>
      <c r="P25" s="234">
        <v>940</v>
      </c>
      <c r="Q25" s="238">
        <v>1024</v>
      </c>
      <c r="R25" s="234">
        <v>983</v>
      </c>
      <c r="S25" s="234">
        <v>870</v>
      </c>
      <c r="T25" s="234">
        <v>841</v>
      </c>
      <c r="U25" s="238">
        <v>820</v>
      </c>
      <c r="V25" s="234">
        <v>781</v>
      </c>
      <c r="W25" s="234">
        <v>808</v>
      </c>
      <c r="X25" s="234">
        <v>968</v>
      </c>
      <c r="Y25" s="238">
        <v>995</v>
      </c>
      <c r="Z25" s="234"/>
      <c r="AA25" s="234"/>
      <c r="AB25" s="234"/>
      <c r="AC25" s="238"/>
      <c r="AD25" s="234"/>
      <c r="AE25" s="234"/>
      <c r="AF25" s="234"/>
      <c r="AG25" s="238"/>
      <c r="AH25" s="201"/>
      <c r="AI25" s="238"/>
      <c r="AJ25" s="238"/>
      <c r="AK25" s="238"/>
      <c r="AL25" s="203"/>
      <c r="AM25" s="242">
        <f t="shared" si="7"/>
        <v>5096</v>
      </c>
      <c r="AN25" s="254">
        <f t="shared" si="4"/>
        <v>2773</v>
      </c>
      <c r="AO25" s="254">
        <f t="shared" si="5"/>
        <v>3499</v>
      </c>
      <c r="AP25" s="30">
        <f t="shared" si="6"/>
        <v>0.9954480796586059</v>
      </c>
      <c r="AQ25" s="245"/>
      <c r="AR25" s="43">
        <f t="shared" si="10"/>
        <v>7014</v>
      </c>
      <c r="AS25" s="43">
        <f t="shared" si="9"/>
        <v>3515</v>
      </c>
      <c r="AT25" s="43">
        <f t="shared" si="11"/>
        <v>3514</v>
      </c>
      <c r="AU25" s="43">
        <f t="shared" si="12"/>
        <v>3552</v>
      </c>
      <c r="AV25" s="201">
        <v>2941</v>
      </c>
      <c r="AW25" s="201">
        <v>2179</v>
      </c>
      <c r="AX25" s="201">
        <v>1477</v>
      </c>
      <c r="AY25" s="43">
        <v>1190</v>
      </c>
      <c r="AZ25" s="43">
        <v>1163</v>
      </c>
      <c r="BA25" s="38">
        <v>1117</v>
      </c>
      <c r="BB25" s="25"/>
      <c r="BC25" s="3"/>
      <c r="BD25" s="3"/>
      <c r="BG25" s="3"/>
    </row>
    <row r="26" spans="1:59" ht="12.75" customHeight="1">
      <c r="A26" s="8"/>
      <c r="B26" s="83" t="s">
        <v>76</v>
      </c>
      <c r="C26" s="242">
        <f t="shared" si="2"/>
        <v>-743</v>
      </c>
      <c r="D26" s="30">
        <f t="shared" si="3"/>
        <v>-0.1854717923115327</v>
      </c>
      <c r="E26" s="592"/>
      <c r="F26" s="234"/>
      <c r="G26" s="234"/>
      <c r="H26" s="234"/>
      <c r="I26" s="238">
        <v>3263</v>
      </c>
      <c r="J26" s="234">
        <v>3612</v>
      </c>
      <c r="K26" s="234">
        <v>3366</v>
      </c>
      <c r="L26" s="234">
        <v>3777</v>
      </c>
      <c r="M26" s="238">
        <v>4006</v>
      </c>
      <c r="N26" s="234">
        <v>1276</v>
      </c>
      <c r="O26" s="234">
        <v>861</v>
      </c>
      <c r="P26" s="234">
        <v>875</v>
      </c>
      <c r="Q26" s="238">
        <v>960</v>
      </c>
      <c r="R26" s="234">
        <v>855</v>
      </c>
      <c r="S26" s="234">
        <v>870</v>
      </c>
      <c r="T26" s="234">
        <v>875</v>
      </c>
      <c r="U26" s="238">
        <v>874</v>
      </c>
      <c r="V26" s="234">
        <v>944</v>
      </c>
      <c r="W26" s="234">
        <v>1054</v>
      </c>
      <c r="X26" s="234">
        <v>906</v>
      </c>
      <c r="Y26" s="238">
        <v>938</v>
      </c>
      <c r="Z26" s="234"/>
      <c r="AA26" s="234"/>
      <c r="AB26" s="234"/>
      <c r="AC26" s="238"/>
      <c r="AD26" s="234"/>
      <c r="AE26" s="234"/>
      <c r="AF26" s="234"/>
      <c r="AG26" s="238"/>
      <c r="AH26" s="201"/>
      <c r="AI26" s="238"/>
      <c r="AJ26" s="238"/>
      <c r="AK26" s="238"/>
      <c r="AL26" s="203"/>
      <c r="AM26" s="242">
        <f t="shared" si="7"/>
        <v>11149</v>
      </c>
      <c r="AN26" s="254">
        <f t="shared" si="4"/>
        <v>2696</v>
      </c>
      <c r="AO26" s="254">
        <f t="shared" si="5"/>
        <v>10789</v>
      </c>
      <c r="AP26" s="30">
        <f t="shared" si="6"/>
        <v>2.7162638469284994</v>
      </c>
      <c r="AQ26" s="245"/>
      <c r="AR26" s="43">
        <f t="shared" si="10"/>
        <v>14761</v>
      </c>
      <c r="AS26" s="43">
        <f t="shared" si="9"/>
        <v>3972</v>
      </c>
      <c r="AT26" s="43">
        <f t="shared" si="11"/>
        <v>3474</v>
      </c>
      <c r="AU26" s="43">
        <f t="shared" si="12"/>
        <v>3842</v>
      </c>
      <c r="AV26" s="201">
        <v>4046</v>
      </c>
      <c r="AW26" s="201">
        <v>3227</v>
      </c>
      <c r="AX26" s="201">
        <v>6343</v>
      </c>
      <c r="AY26" s="43">
        <v>2139</v>
      </c>
      <c r="AZ26" s="43">
        <v>2143</v>
      </c>
      <c r="BA26" s="38">
        <v>2573</v>
      </c>
      <c r="BB26" s="25"/>
      <c r="BC26" s="3"/>
      <c r="BD26" s="3"/>
      <c r="BG26" s="3"/>
    </row>
    <row r="27" spans="1:59" ht="12.75" customHeight="1">
      <c r="A27" s="8"/>
      <c r="B27" s="83" t="s">
        <v>77</v>
      </c>
      <c r="C27" s="242">
        <f t="shared" si="2"/>
        <v>-2730</v>
      </c>
      <c r="D27" s="30">
        <f t="shared" si="3"/>
        <v>-0.4140127388535032</v>
      </c>
      <c r="E27" s="592"/>
      <c r="F27" s="234"/>
      <c r="G27" s="234"/>
      <c r="H27" s="234"/>
      <c r="I27" s="238">
        <v>3864</v>
      </c>
      <c r="J27" s="234">
        <v>4560</v>
      </c>
      <c r="K27" s="234">
        <v>4555</v>
      </c>
      <c r="L27" s="234">
        <v>4099</v>
      </c>
      <c r="M27" s="238">
        <v>6594</v>
      </c>
      <c r="N27" s="234">
        <v>1778</v>
      </c>
      <c r="O27" s="234">
        <v>1399</v>
      </c>
      <c r="P27" s="234">
        <v>1479</v>
      </c>
      <c r="Q27" s="238">
        <v>1345</v>
      </c>
      <c r="R27" s="234">
        <v>1313</v>
      </c>
      <c r="S27" s="234">
        <v>1310</v>
      </c>
      <c r="T27" s="234">
        <v>1340</v>
      </c>
      <c r="U27" s="238">
        <v>1180</v>
      </c>
      <c r="V27" s="234">
        <v>680</v>
      </c>
      <c r="W27" s="234">
        <v>754</v>
      </c>
      <c r="X27" s="234">
        <v>523</v>
      </c>
      <c r="Y27" s="238">
        <v>476</v>
      </c>
      <c r="Z27" s="234"/>
      <c r="AA27" s="234"/>
      <c r="AB27" s="234"/>
      <c r="AC27" s="238"/>
      <c r="AD27" s="234"/>
      <c r="AE27" s="234"/>
      <c r="AF27" s="234"/>
      <c r="AG27" s="238"/>
      <c r="AH27" s="201"/>
      <c r="AI27" s="238"/>
      <c r="AJ27" s="238"/>
      <c r="AK27" s="238"/>
      <c r="AL27" s="203"/>
      <c r="AM27" s="242">
        <f t="shared" si="7"/>
        <v>15248</v>
      </c>
      <c r="AN27" s="254">
        <f t="shared" si="4"/>
        <v>4223</v>
      </c>
      <c r="AO27" s="254">
        <f t="shared" si="5"/>
        <v>13807</v>
      </c>
      <c r="AP27" s="30">
        <f t="shared" si="6"/>
        <v>2.300783202799533</v>
      </c>
      <c r="AQ27" s="245"/>
      <c r="AR27" s="43">
        <f t="shared" si="10"/>
        <v>19808</v>
      </c>
      <c r="AS27" s="43">
        <f t="shared" si="9"/>
        <v>6001</v>
      </c>
      <c r="AT27" s="43">
        <f t="shared" si="11"/>
        <v>5143</v>
      </c>
      <c r="AU27" s="43">
        <f t="shared" si="12"/>
        <v>2433</v>
      </c>
      <c r="AV27" s="201">
        <v>2049</v>
      </c>
      <c r="AW27" s="201">
        <v>2816</v>
      </c>
      <c r="AX27" s="201">
        <v>2227</v>
      </c>
      <c r="AY27" s="43">
        <v>1440</v>
      </c>
      <c r="AZ27" s="43">
        <v>1036</v>
      </c>
      <c r="BA27" s="38">
        <v>837</v>
      </c>
      <c r="BB27" s="25"/>
      <c r="BC27" s="3"/>
      <c r="BD27" s="3"/>
      <c r="BG27" s="3"/>
    </row>
    <row r="28" spans="1:59" ht="12.75" customHeight="1">
      <c r="A28" s="8"/>
      <c r="B28" s="83" t="s">
        <v>72</v>
      </c>
      <c r="C28" s="242">
        <f t="shared" si="2"/>
        <v>196</v>
      </c>
      <c r="D28" s="30">
        <f t="shared" si="3"/>
        <v>0.23642943305186973</v>
      </c>
      <c r="E28" s="592"/>
      <c r="F28" s="234"/>
      <c r="G28" s="234"/>
      <c r="H28" s="234"/>
      <c r="I28" s="238">
        <v>1025</v>
      </c>
      <c r="J28" s="234">
        <v>843</v>
      </c>
      <c r="K28" s="234">
        <v>824</v>
      </c>
      <c r="L28" s="234">
        <v>925</v>
      </c>
      <c r="M28" s="238">
        <v>829</v>
      </c>
      <c r="N28" s="234">
        <v>154</v>
      </c>
      <c r="O28" s="234">
        <v>8</v>
      </c>
      <c r="P28" s="234">
        <v>17</v>
      </c>
      <c r="Q28" s="238">
        <v>-9</v>
      </c>
      <c r="R28" s="234">
        <v>60</v>
      </c>
      <c r="S28" s="234">
        <v>12</v>
      </c>
      <c r="T28" s="234">
        <v>13</v>
      </c>
      <c r="U28" s="238">
        <v>17</v>
      </c>
      <c r="V28" s="234">
        <v>12</v>
      </c>
      <c r="W28" s="234">
        <v>23</v>
      </c>
      <c r="X28" s="234">
        <v>15</v>
      </c>
      <c r="Y28" s="238">
        <v>24</v>
      </c>
      <c r="Z28" s="234"/>
      <c r="AA28" s="234"/>
      <c r="AB28" s="234"/>
      <c r="AC28" s="238"/>
      <c r="AD28" s="234"/>
      <c r="AE28" s="254"/>
      <c r="AF28" s="254"/>
      <c r="AG28" s="353"/>
      <c r="AH28" s="302"/>
      <c r="AI28" s="238"/>
      <c r="AJ28" s="238"/>
      <c r="AK28" s="353"/>
      <c r="AL28" s="203"/>
      <c r="AM28" s="242">
        <f t="shared" si="7"/>
        <v>2578</v>
      </c>
      <c r="AN28" s="254">
        <f t="shared" si="4"/>
        <v>16</v>
      </c>
      <c r="AO28" s="254">
        <f t="shared" si="5"/>
        <v>3251</v>
      </c>
      <c r="AP28" s="30" t="str">
        <f t="shared" si="6"/>
        <v>n.m.</v>
      </c>
      <c r="AQ28" s="245"/>
      <c r="AR28" s="43">
        <f t="shared" si="10"/>
        <v>3421</v>
      </c>
      <c r="AS28" s="43">
        <f t="shared" si="9"/>
        <v>170</v>
      </c>
      <c r="AT28" s="43">
        <f t="shared" si="11"/>
        <v>102</v>
      </c>
      <c r="AU28" s="43">
        <f t="shared" si="12"/>
        <v>74</v>
      </c>
      <c r="AV28" s="201">
        <v>253</v>
      </c>
      <c r="AW28" s="201">
        <v>-4</v>
      </c>
      <c r="AX28" s="201">
        <v>0</v>
      </c>
      <c r="AY28" s="43">
        <v>5</v>
      </c>
      <c r="AZ28" s="43">
        <v>1</v>
      </c>
      <c r="BA28" s="38">
        <v>35</v>
      </c>
      <c r="BB28" s="25"/>
      <c r="BC28" s="3"/>
      <c r="BD28" s="3"/>
      <c r="BG28" s="3"/>
    </row>
    <row r="29" spans="1:59" ht="12.75" customHeight="1">
      <c r="A29" s="8"/>
      <c r="B29" s="83" t="s">
        <v>101</v>
      </c>
      <c r="C29" s="242">
        <f t="shared" si="2"/>
        <v>-1269</v>
      </c>
      <c r="D29" s="30">
        <f t="shared" si="3"/>
        <v>-0.14067176587961425</v>
      </c>
      <c r="E29" s="592"/>
      <c r="F29" s="234"/>
      <c r="G29" s="234"/>
      <c r="H29" s="234"/>
      <c r="I29" s="238">
        <v>7752</v>
      </c>
      <c r="J29" s="234">
        <v>6822</v>
      </c>
      <c r="K29" s="234">
        <v>9556</v>
      </c>
      <c r="L29" s="234">
        <v>5965</v>
      </c>
      <c r="M29" s="238">
        <v>9021</v>
      </c>
      <c r="N29" s="234">
        <v>3693</v>
      </c>
      <c r="O29" s="234">
        <v>1763</v>
      </c>
      <c r="P29" s="234">
        <v>1485</v>
      </c>
      <c r="Q29" s="238">
        <v>2212</v>
      </c>
      <c r="R29" s="234">
        <v>1710</v>
      </c>
      <c r="S29" s="234">
        <v>1633</v>
      </c>
      <c r="T29" s="234">
        <v>1593</v>
      </c>
      <c r="U29" s="238">
        <v>2463</v>
      </c>
      <c r="V29" s="234">
        <v>1365</v>
      </c>
      <c r="W29" s="234">
        <v>1398</v>
      </c>
      <c r="X29" s="234">
        <v>1575</v>
      </c>
      <c r="Y29" s="238">
        <v>1647</v>
      </c>
      <c r="Z29" s="234"/>
      <c r="AA29" s="234"/>
      <c r="AB29" s="234"/>
      <c r="AC29" s="238"/>
      <c r="AD29" s="234"/>
      <c r="AE29" s="234"/>
      <c r="AF29" s="234"/>
      <c r="AG29" s="238"/>
      <c r="AH29" s="201"/>
      <c r="AI29" s="238"/>
      <c r="AJ29" s="238"/>
      <c r="AK29" s="238"/>
      <c r="AL29" s="203"/>
      <c r="AM29" s="242">
        <f t="shared" si="7"/>
        <v>24542</v>
      </c>
      <c r="AN29" s="254">
        <f t="shared" si="4"/>
        <v>5460</v>
      </c>
      <c r="AO29" s="254">
        <f t="shared" si="5"/>
        <v>22211</v>
      </c>
      <c r="AP29" s="30">
        <f t="shared" si="6"/>
        <v>2.426636075603627</v>
      </c>
      <c r="AQ29" s="245"/>
      <c r="AR29" s="43">
        <f t="shared" si="10"/>
        <v>31364</v>
      </c>
      <c r="AS29" s="43">
        <f t="shared" si="9"/>
        <v>9153</v>
      </c>
      <c r="AT29" s="43">
        <f t="shared" si="11"/>
        <v>7399</v>
      </c>
      <c r="AU29" s="43">
        <f t="shared" si="12"/>
        <v>5985</v>
      </c>
      <c r="AV29" s="201">
        <v>15606</v>
      </c>
      <c r="AW29" s="201">
        <v>11718</v>
      </c>
      <c r="AX29" s="201">
        <v>10403</v>
      </c>
      <c r="AY29" s="43">
        <v>6374</v>
      </c>
      <c r="AZ29" s="43">
        <v>5879</v>
      </c>
      <c r="BA29" s="38">
        <v>3463</v>
      </c>
      <c r="BB29" s="25"/>
      <c r="BC29" s="3"/>
      <c r="BD29" s="3"/>
      <c r="BG29" s="3"/>
    </row>
    <row r="30" spans="1:59" ht="12.75" customHeight="1">
      <c r="A30" s="8"/>
      <c r="B30" s="83" t="s">
        <v>79</v>
      </c>
      <c r="C30" s="242">
        <f t="shared" si="2"/>
        <v>-695</v>
      </c>
      <c r="D30" s="30">
        <f t="shared" si="3"/>
        <v>-0.19649420412779192</v>
      </c>
      <c r="E30" s="592"/>
      <c r="F30" s="234"/>
      <c r="G30" s="234"/>
      <c r="H30" s="234"/>
      <c r="I30" s="238">
        <v>2842</v>
      </c>
      <c r="J30" s="234">
        <v>3524</v>
      </c>
      <c r="K30" s="234">
        <v>3580</v>
      </c>
      <c r="L30" s="234">
        <v>3478</v>
      </c>
      <c r="M30" s="238">
        <v>3537</v>
      </c>
      <c r="N30" s="234">
        <v>334</v>
      </c>
      <c r="O30" s="234">
        <v>307</v>
      </c>
      <c r="P30" s="234">
        <v>291</v>
      </c>
      <c r="Q30" s="238">
        <v>312</v>
      </c>
      <c r="R30" s="234">
        <v>314</v>
      </c>
      <c r="S30" s="234">
        <v>314</v>
      </c>
      <c r="T30" s="234">
        <v>314</v>
      </c>
      <c r="U30" s="238">
        <v>312</v>
      </c>
      <c r="V30" s="234">
        <v>339</v>
      </c>
      <c r="W30" s="234">
        <v>391</v>
      </c>
      <c r="X30" s="234">
        <v>425</v>
      </c>
      <c r="Y30" s="238">
        <v>448</v>
      </c>
      <c r="Z30" s="234"/>
      <c r="AA30" s="234"/>
      <c r="AB30" s="234"/>
      <c r="AC30" s="238"/>
      <c r="AD30" s="234"/>
      <c r="AE30" s="234"/>
      <c r="AF30" s="234"/>
      <c r="AG30" s="238"/>
      <c r="AH30" s="201"/>
      <c r="AI30" s="238"/>
      <c r="AJ30" s="238"/>
      <c r="AK30" s="238"/>
      <c r="AL30" s="203"/>
      <c r="AM30" s="242">
        <f t="shared" si="7"/>
        <v>10595</v>
      </c>
      <c r="AN30" s="254">
        <f t="shared" si="4"/>
        <v>910</v>
      </c>
      <c r="AO30" s="254">
        <f t="shared" si="5"/>
        <v>12875</v>
      </c>
      <c r="AP30" s="30" t="str">
        <f t="shared" si="6"/>
        <v>n.m.</v>
      </c>
      <c r="AQ30" s="245"/>
      <c r="AR30" s="43">
        <f t="shared" si="10"/>
        <v>14119</v>
      </c>
      <c r="AS30" s="43">
        <f t="shared" si="9"/>
        <v>1244</v>
      </c>
      <c r="AT30" s="43">
        <f t="shared" si="11"/>
        <v>1254</v>
      </c>
      <c r="AU30" s="43">
        <f t="shared" si="12"/>
        <v>1603</v>
      </c>
      <c r="AV30" s="201">
        <v>1843</v>
      </c>
      <c r="AW30" s="201">
        <v>1825</v>
      </c>
      <c r="AX30" s="201">
        <v>2016</v>
      </c>
      <c r="AY30" s="43">
        <v>716</v>
      </c>
      <c r="AZ30" s="43">
        <v>620</v>
      </c>
      <c r="BA30" s="38">
        <v>716</v>
      </c>
      <c r="BB30" s="25"/>
      <c r="BC30" s="3"/>
      <c r="BD30" s="3"/>
      <c r="BG30" s="3"/>
    </row>
    <row r="31" spans="1:59" ht="12.75" customHeight="1">
      <c r="A31" s="7"/>
      <c r="B31" s="83" t="s">
        <v>80</v>
      </c>
      <c r="C31" s="242">
        <f t="shared" si="2"/>
        <v>1551</v>
      </c>
      <c r="D31" s="30" t="s">
        <v>44</v>
      </c>
      <c r="E31" s="592"/>
      <c r="F31" s="234"/>
      <c r="G31" s="234"/>
      <c r="H31" s="846"/>
      <c r="I31" s="353">
        <v>1551</v>
      </c>
      <c r="J31" s="234">
        <v>1658</v>
      </c>
      <c r="K31" s="234">
        <v>2664</v>
      </c>
      <c r="L31" s="846">
        <v>0</v>
      </c>
      <c r="M31" s="847">
        <v>0</v>
      </c>
      <c r="N31" s="234">
        <v>1</v>
      </c>
      <c r="O31" s="234">
        <v>512</v>
      </c>
      <c r="P31" s="234">
        <v>533</v>
      </c>
      <c r="Q31" s="238">
        <v>760</v>
      </c>
      <c r="R31" s="234">
        <v>1474</v>
      </c>
      <c r="S31" s="234">
        <v>1103</v>
      </c>
      <c r="T31" s="234">
        <v>1012</v>
      </c>
      <c r="U31" s="238">
        <v>1108</v>
      </c>
      <c r="V31" s="234">
        <v>1972</v>
      </c>
      <c r="W31" s="234">
        <v>345</v>
      </c>
      <c r="X31" s="234">
        <v>343</v>
      </c>
      <c r="Y31" s="238">
        <v>352</v>
      </c>
      <c r="Z31" s="234"/>
      <c r="AA31" s="234"/>
      <c r="AB31" s="234"/>
      <c r="AC31" s="238"/>
      <c r="AD31" s="234"/>
      <c r="AE31" s="234"/>
      <c r="AF31" s="234"/>
      <c r="AG31" s="238"/>
      <c r="AH31" s="201"/>
      <c r="AI31" s="241"/>
      <c r="AJ31" s="238"/>
      <c r="AK31" s="238"/>
      <c r="AL31" s="203"/>
      <c r="AM31" s="242">
        <f>SUM(K31:M31)</f>
        <v>2664</v>
      </c>
      <c r="AN31" s="254">
        <f>SUM(O31:Q31)</f>
        <v>1805</v>
      </c>
      <c r="AO31" s="254">
        <f t="shared" si="5"/>
        <v>2516</v>
      </c>
      <c r="AP31" s="30">
        <f t="shared" si="6"/>
        <v>1.3931339977851607</v>
      </c>
      <c r="AQ31" s="245"/>
      <c r="AR31" s="43">
        <f t="shared" si="10"/>
        <v>4322</v>
      </c>
      <c r="AS31" s="43">
        <f>SUM(N31:Q31)</f>
        <v>1806</v>
      </c>
      <c r="AT31" s="43">
        <f>SUM(R31:U31)</f>
        <v>4697</v>
      </c>
      <c r="AU31" s="43">
        <f>SUM(V31:Y31)</f>
        <v>3012</v>
      </c>
      <c r="AV31" s="201">
        <v>1340</v>
      </c>
      <c r="AW31" s="201">
        <v>1133</v>
      </c>
      <c r="AX31" s="201">
        <v>269</v>
      </c>
      <c r="AY31" s="43">
        <v>0</v>
      </c>
      <c r="AZ31" s="43">
        <v>0</v>
      </c>
      <c r="BA31" s="38">
        <v>0</v>
      </c>
      <c r="BB31" s="25"/>
      <c r="BC31" s="3"/>
      <c r="BD31" s="3"/>
      <c r="BG31" s="3"/>
    </row>
    <row r="32" spans="1:59" ht="12.75" customHeight="1">
      <c r="A32" s="8"/>
      <c r="B32" s="83" t="s">
        <v>193</v>
      </c>
      <c r="C32" s="242">
        <f t="shared" si="2"/>
        <v>0</v>
      </c>
      <c r="D32" s="30">
        <v>0</v>
      </c>
      <c r="E32" s="592"/>
      <c r="F32" s="234"/>
      <c r="G32" s="234"/>
      <c r="H32" s="846"/>
      <c r="I32" s="847">
        <v>0</v>
      </c>
      <c r="J32" s="234">
        <v>6445</v>
      </c>
      <c r="K32" s="234">
        <v>3325</v>
      </c>
      <c r="L32" s="846">
        <v>0</v>
      </c>
      <c r="M32" s="847">
        <v>0</v>
      </c>
      <c r="N32" s="234">
        <v>18050</v>
      </c>
      <c r="O32" s="234">
        <v>410</v>
      </c>
      <c r="P32" s="846">
        <v>0</v>
      </c>
      <c r="Q32" s="847">
        <v>0</v>
      </c>
      <c r="R32" s="846">
        <v>0</v>
      </c>
      <c r="S32" s="846">
        <v>0</v>
      </c>
      <c r="T32" s="846">
        <v>0</v>
      </c>
      <c r="U32" s="847">
        <v>0</v>
      </c>
      <c r="V32" s="619">
        <v>0</v>
      </c>
      <c r="W32" s="234">
        <v>0</v>
      </c>
      <c r="X32" s="234">
        <v>0</v>
      </c>
      <c r="Y32" s="238">
        <v>0</v>
      </c>
      <c r="Z32" s="234"/>
      <c r="AA32" s="234"/>
      <c r="AB32" s="234"/>
      <c r="AC32" s="238"/>
      <c r="AD32" s="234"/>
      <c r="AE32" s="234"/>
      <c r="AF32" s="234"/>
      <c r="AG32" s="238"/>
      <c r="AH32" s="201"/>
      <c r="AI32" s="238"/>
      <c r="AJ32" s="238"/>
      <c r="AK32" s="238"/>
      <c r="AL32" s="203"/>
      <c r="AM32" s="242">
        <f>SUM(K32:M32)</f>
        <v>3325</v>
      </c>
      <c r="AN32" s="254">
        <f>SUM(O32:Q32)</f>
        <v>410</v>
      </c>
      <c r="AO32" s="254">
        <f t="shared" si="5"/>
        <v>-8690</v>
      </c>
      <c r="AP32" s="30">
        <f t="shared" si="6"/>
        <v>-0.47074756229685805</v>
      </c>
      <c r="AQ32" s="245"/>
      <c r="AR32" s="43">
        <f t="shared" si="10"/>
        <v>9770</v>
      </c>
      <c r="AS32" s="43">
        <f>SUM(N32:Q32)</f>
        <v>18460</v>
      </c>
      <c r="AT32" s="43">
        <f>SUM(R32:U32)</f>
        <v>0</v>
      </c>
      <c r="AU32" s="43">
        <f>SUM(V32:Y32)</f>
        <v>0</v>
      </c>
      <c r="AV32" s="782">
        <v>1274</v>
      </c>
      <c r="AW32" s="782">
        <v>0</v>
      </c>
      <c r="AX32" s="201">
        <v>0</v>
      </c>
      <c r="AY32" s="43">
        <v>0</v>
      </c>
      <c r="AZ32" s="43">
        <v>0</v>
      </c>
      <c r="BA32" s="38">
        <v>0</v>
      </c>
      <c r="BB32" s="25"/>
      <c r="BC32" s="3"/>
      <c r="BD32" s="3"/>
      <c r="BG32" s="3"/>
    </row>
    <row r="33" spans="1:59" ht="12.75" customHeight="1">
      <c r="A33" s="8"/>
      <c r="B33" s="83" t="s">
        <v>218</v>
      </c>
      <c r="C33" s="242">
        <f t="shared" si="2"/>
        <v>0</v>
      </c>
      <c r="D33" s="30">
        <v>0</v>
      </c>
      <c r="E33" s="592"/>
      <c r="F33" s="254"/>
      <c r="G33" s="254"/>
      <c r="H33" s="234"/>
      <c r="I33" s="353">
        <v>0</v>
      </c>
      <c r="J33" s="254">
        <v>0</v>
      </c>
      <c r="K33" s="254">
        <v>431</v>
      </c>
      <c r="L33" s="234">
        <v>900</v>
      </c>
      <c r="M33" s="353">
        <v>0</v>
      </c>
      <c r="N33" s="254">
        <v>9963</v>
      </c>
      <c r="O33" s="254">
        <v>0</v>
      </c>
      <c r="P33" s="254">
        <v>0</v>
      </c>
      <c r="Q33" s="353">
        <v>0</v>
      </c>
      <c r="R33" s="254">
        <v>0</v>
      </c>
      <c r="S33" s="254">
        <v>0</v>
      </c>
      <c r="T33" s="254">
        <v>0</v>
      </c>
      <c r="U33" s="353">
        <v>0</v>
      </c>
      <c r="V33" s="234">
        <v>0</v>
      </c>
      <c r="W33" s="234"/>
      <c r="X33" s="234"/>
      <c r="Y33" s="238"/>
      <c r="Z33" s="234"/>
      <c r="AA33" s="234"/>
      <c r="AB33" s="234"/>
      <c r="AC33" s="238"/>
      <c r="AD33" s="234"/>
      <c r="AE33" s="234"/>
      <c r="AF33" s="234"/>
      <c r="AG33" s="238"/>
      <c r="AH33" s="201"/>
      <c r="AI33" s="238"/>
      <c r="AJ33" s="238"/>
      <c r="AK33" s="238"/>
      <c r="AL33" s="203"/>
      <c r="AM33" s="242">
        <f>SUM(K33:M33)</f>
        <v>1331</v>
      </c>
      <c r="AN33" s="254">
        <f>SUM(O33:Q33)</f>
        <v>0</v>
      </c>
      <c r="AO33" s="254">
        <f t="shared" si="5"/>
        <v>-8632</v>
      </c>
      <c r="AP33" s="30">
        <f t="shared" si="6"/>
        <v>-0.866405701094048</v>
      </c>
      <c r="AQ33" s="245"/>
      <c r="AR33" s="43">
        <f t="shared" si="10"/>
        <v>1331</v>
      </c>
      <c r="AS33" s="43">
        <f>SUM(N33:Q33)</f>
        <v>9963</v>
      </c>
      <c r="AT33" s="43">
        <f>SUM(R33:U33)</f>
        <v>0</v>
      </c>
      <c r="AU33" s="43">
        <v>0</v>
      </c>
      <c r="AV33" s="201">
        <v>0</v>
      </c>
      <c r="AW33" s="201">
        <v>0</v>
      </c>
      <c r="AX33" s="201"/>
      <c r="AY33" s="43"/>
      <c r="AZ33" s="43"/>
      <c r="BA33" s="38"/>
      <c r="BB33" s="25"/>
      <c r="BC33" s="3"/>
      <c r="BD33" s="3"/>
      <c r="BG33" s="3"/>
    </row>
    <row r="34" spans="1:59" ht="12.75" customHeight="1" hidden="1">
      <c r="A34" s="8"/>
      <c r="B34" s="83" t="s">
        <v>334</v>
      </c>
      <c r="C34" s="242"/>
      <c r="D34" s="30"/>
      <c r="E34" s="592"/>
      <c r="F34" s="234"/>
      <c r="G34" s="234"/>
      <c r="H34" s="234"/>
      <c r="I34" s="353"/>
      <c r="J34" s="234"/>
      <c r="K34" s="234"/>
      <c r="L34" s="234"/>
      <c r="M34" s="353"/>
      <c r="N34" s="254"/>
      <c r="O34" s="254"/>
      <c r="P34" s="254"/>
      <c r="Q34" s="353"/>
      <c r="R34" s="254"/>
      <c r="S34" s="254"/>
      <c r="T34" s="254"/>
      <c r="U34" s="353"/>
      <c r="V34" s="234"/>
      <c r="W34" s="234"/>
      <c r="X34" s="234"/>
      <c r="Y34" s="238"/>
      <c r="Z34" s="234"/>
      <c r="AA34" s="234"/>
      <c r="AB34" s="234"/>
      <c r="AC34" s="238"/>
      <c r="AD34" s="234"/>
      <c r="AE34" s="234"/>
      <c r="AF34" s="234"/>
      <c r="AG34" s="238"/>
      <c r="AH34" s="201"/>
      <c r="AI34" s="238"/>
      <c r="AJ34" s="238"/>
      <c r="AK34" s="238"/>
      <c r="AL34" s="203"/>
      <c r="AM34" s="242"/>
      <c r="AN34" s="254"/>
      <c r="AO34" s="254"/>
      <c r="AP34" s="30"/>
      <c r="AQ34" s="245"/>
      <c r="AR34" s="43"/>
      <c r="AS34" s="43"/>
      <c r="AT34" s="43"/>
      <c r="AU34" s="43"/>
      <c r="AV34" s="201"/>
      <c r="AW34" s="201"/>
      <c r="AX34" s="201"/>
      <c r="AY34" s="43"/>
      <c r="AZ34" s="43"/>
      <c r="BA34" s="38"/>
      <c r="BB34" s="25"/>
      <c r="BC34" s="3"/>
      <c r="BD34" s="3"/>
      <c r="BG34" s="3"/>
    </row>
    <row r="35" spans="1:59" ht="12.75" customHeight="1">
      <c r="A35" s="8"/>
      <c r="B35" s="7"/>
      <c r="C35" s="247">
        <f>I35-M35</f>
        <v>-910</v>
      </c>
      <c r="D35" s="170">
        <f>IF(OR((C35/M35)&gt;3,(C35/M35)&lt;-3),"n.m.",(C35/M35))</f>
        <v>-0.015546519971298732</v>
      </c>
      <c r="E35" s="592"/>
      <c r="F35" s="248"/>
      <c r="G35" s="248"/>
      <c r="H35" s="248"/>
      <c r="I35" s="249">
        <f aca="true" t="shared" si="13" ref="I35:N35">SUM(I22:I34)</f>
        <v>57624</v>
      </c>
      <c r="J35" s="248">
        <f t="shared" si="13"/>
        <v>71904</v>
      </c>
      <c r="K35" s="248">
        <f t="shared" si="13"/>
        <v>70304</v>
      </c>
      <c r="L35" s="248">
        <f t="shared" si="13"/>
        <v>58778</v>
      </c>
      <c r="M35" s="249">
        <f t="shared" si="13"/>
        <v>58534</v>
      </c>
      <c r="N35" s="248">
        <f t="shared" si="13"/>
        <v>53257</v>
      </c>
      <c r="O35" s="248">
        <f>SUM(O20:O21,O23:O33)</f>
        <v>13751</v>
      </c>
      <c r="P35" s="248">
        <f>SUM(P22:P34)</f>
        <v>13294</v>
      </c>
      <c r="Q35" s="249">
        <f>SUM(Q22:Q34)</f>
        <v>14080</v>
      </c>
      <c r="R35" s="248">
        <f aca="true" t="shared" si="14" ref="R35:AX35">SUM(R22:R33)</f>
        <v>25215</v>
      </c>
      <c r="S35" s="248">
        <f t="shared" si="14"/>
        <v>20384</v>
      </c>
      <c r="T35" s="248">
        <f t="shared" si="14"/>
        <v>16895</v>
      </c>
      <c r="U35" s="249">
        <f t="shared" si="14"/>
        <v>16054</v>
      </c>
      <c r="V35" s="248">
        <f t="shared" si="14"/>
        <v>19201</v>
      </c>
      <c r="W35" s="248">
        <f t="shared" si="14"/>
        <v>21966</v>
      </c>
      <c r="X35" s="248">
        <f t="shared" si="14"/>
        <v>14464</v>
      </c>
      <c r="Y35" s="249">
        <f t="shared" si="14"/>
        <v>17290</v>
      </c>
      <c r="Z35" s="248">
        <f t="shared" si="14"/>
        <v>0</v>
      </c>
      <c r="AA35" s="248">
        <f t="shared" si="14"/>
        <v>0</v>
      </c>
      <c r="AB35" s="248">
        <f t="shared" si="14"/>
        <v>0</v>
      </c>
      <c r="AC35" s="249">
        <f t="shared" si="14"/>
        <v>0</v>
      </c>
      <c r="AD35" s="248">
        <f t="shared" si="14"/>
        <v>0</v>
      </c>
      <c r="AE35" s="248">
        <f t="shared" si="14"/>
        <v>0</v>
      </c>
      <c r="AF35" s="248">
        <f t="shared" si="14"/>
        <v>0</v>
      </c>
      <c r="AG35" s="249">
        <f t="shared" si="14"/>
        <v>0</v>
      </c>
      <c r="AH35" s="207">
        <f t="shared" si="14"/>
        <v>0</v>
      </c>
      <c r="AI35" s="249">
        <f t="shared" si="14"/>
        <v>0</v>
      </c>
      <c r="AJ35" s="249">
        <f t="shared" si="14"/>
        <v>0</v>
      </c>
      <c r="AK35" s="249">
        <f t="shared" si="14"/>
        <v>0</v>
      </c>
      <c r="AL35" s="203"/>
      <c r="AM35" s="246">
        <f>SUM(AM22:AM33)</f>
        <v>187616</v>
      </c>
      <c r="AN35" s="381">
        <f>SUM(AN22:AN33)</f>
        <v>41125</v>
      </c>
      <c r="AO35" s="381">
        <f>AR35-AS35</f>
        <v>165138</v>
      </c>
      <c r="AP35" s="170">
        <f>IF(OR((AO35/AS35)&gt;3,(AO35/AS35)&lt;-3),"n.m.",(AO35/AS35))</f>
        <v>1.7496768451611535</v>
      </c>
      <c r="AQ35" s="245"/>
      <c r="AR35" s="386">
        <f>SUM(AR22:AR34)</f>
        <v>259520</v>
      </c>
      <c r="AS35" s="386">
        <f>SUM(AS22:AS34)</f>
        <v>94382</v>
      </c>
      <c r="AT35" s="386">
        <f>SUM(AT22:AT34)</f>
        <v>78548</v>
      </c>
      <c r="AU35" s="202">
        <f t="shared" si="14"/>
        <v>72921</v>
      </c>
      <c r="AV35" s="202">
        <f t="shared" si="14"/>
        <v>70895</v>
      </c>
      <c r="AW35" s="202">
        <f t="shared" si="14"/>
        <v>88719</v>
      </c>
      <c r="AX35" s="202">
        <f t="shared" si="14"/>
        <v>98148</v>
      </c>
      <c r="AY35" s="355">
        <v>83963</v>
      </c>
      <c r="AZ35" s="355">
        <v>85664</v>
      </c>
      <c r="BA35" s="169">
        <v>68575</v>
      </c>
      <c r="BB35" s="25"/>
      <c r="BC35" s="3"/>
      <c r="BD35" s="3"/>
      <c r="BG35" s="3"/>
    </row>
    <row r="36" spans="1:59" ht="12.75" customHeight="1" thickBot="1">
      <c r="A36" s="1443" t="s">
        <v>445</v>
      </c>
      <c r="B36" s="1444"/>
      <c r="C36" s="472" t="e">
        <f>I36-M36</f>
        <v>#REF!</v>
      </c>
      <c r="D36" s="182" t="e">
        <f>IF(OR((C36/M36)&gt;3,(C36/M36)&lt;-3),"n.m.",(C36/M36))</f>
        <v>#REF!</v>
      </c>
      <c r="E36" s="592"/>
      <c r="F36" s="222"/>
      <c r="G36" s="222"/>
      <c r="H36" s="222"/>
      <c r="I36" s="223" t="e">
        <f>+I16-I35</f>
        <v>#REF!</v>
      </c>
      <c r="J36" s="222" t="e">
        <f>+J16-J35</f>
        <v>#REF!</v>
      </c>
      <c r="K36" s="222" t="e">
        <f>+K16-K35</f>
        <v>#REF!</v>
      </c>
      <c r="L36" s="222" t="e">
        <f>+L16-L35</f>
        <v>#REF!</v>
      </c>
      <c r="M36" s="223" t="e">
        <f aca="true" t="shared" si="15" ref="M36:AK36">M16-M35</f>
        <v>#REF!</v>
      </c>
      <c r="N36" s="222" t="e">
        <f t="shared" si="15"/>
        <v>#REF!</v>
      </c>
      <c r="O36" s="222">
        <f t="shared" si="15"/>
        <v>-1003</v>
      </c>
      <c r="P36" s="222">
        <f t="shared" si="15"/>
        <v>-3956</v>
      </c>
      <c r="Q36" s="223">
        <f t="shared" si="15"/>
        <v>-4834</v>
      </c>
      <c r="R36" s="222">
        <f t="shared" si="15"/>
        <v>9340</v>
      </c>
      <c r="S36" s="222">
        <f t="shared" si="15"/>
        <v>2955</v>
      </c>
      <c r="T36" s="222">
        <f t="shared" si="15"/>
        <v>1443</v>
      </c>
      <c r="U36" s="223">
        <f t="shared" si="15"/>
        <v>391</v>
      </c>
      <c r="V36" s="222">
        <f t="shared" si="15"/>
        <v>2132</v>
      </c>
      <c r="W36" s="222">
        <f t="shared" si="15"/>
        <v>4455</v>
      </c>
      <c r="X36" s="222">
        <f t="shared" si="15"/>
        <v>-689</v>
      </c>
      <c r="Y36" s="223">
        <f t="shared" si="15"/>
        <v>3635</v>
      </c>
      <c r="Z36" s="222">
        <f t="shared" si="15"/>
        <v>0</v>
      </c>
      <c r="AA36" s="222">
        <f t="shared" si="15"/>
        <v>0</v>
      </c>
      <c r="AB36" s="222">
        <f t="shared" si="15"/>
        <v>0</v>
      </c>
      <c r="AC36" s="223">
        <f t="shared" si="15"/>
        <v>0</v>
      </c>
      <c r="AD36" s="223">
        <f t="shared" si="15"/>
        <v>0</v>
      </c>
      <c r="AE36" s="394">
        <f t="shared" si="15"/>
        <v>0</v>
      </c>
      <c r="AF36" s="394">
        <f t="shared" si="15"/>
        <v>0</v>
      </c>
      <c r="AG36" s="220">
        <f t="shared" si="15"/>
        <v>0</v>
      </c>
      <c r="AH36" s="220">
        <f t="shared" si="15"/>
        <v>0</v>
      </c>
      <c r="AI36" s="220">
        <f t="shared" si="15"/>
        <v>0</v>
      </c>
      <c r="AJ36" s="220">
        <f t="shared" si="15"/>
        <v>0</v>
      </c>
      <c r="AK36" s="220">
        <f t="shared" si="15"/>
        <v>0</v>
      </c>
      <c r="AL36" s="89"/>
      <c r="AM36" s="222" t="e">
        <f>AM16-AM35</f>
        <v>#REF!</v>
      </c>
      <c r="AN36" s="222">
        <f>AN16-AN35</f>
        <v>-9793</v>
      </c>
      <c r="AO36" s="548" t="e">
        <f>AR36-AS36</f>
        <v>#REF!</v>
      </c>
      <c r="AP36" s="182" t="e">
        <f>-IF(OR((AO36/AS36)&gt;3,(AO36/AS36)&lt;-3),"n.m.",(AO36/AS36))</f>
        <v>#REF!</v>
      </c>
      <c r="AQ36" s="89"/>
      <c r="AR36" s="223" t="e">
        <f>AR16-AR35</f>
        <v>#REF!</v>
      </c>
      <c r="AS36" s="223" t="e">
        <f aca="true" t="shared" si="16" ref="AS36:AZ36">AS16-AS35</f>
        <v>#REF!</v>
      </c>
      <c r="AT36" s="223">
        <f t="shared" si="16"/>
        <v>14129</v>
      </c>
      <c r="AU36" s="209">
        <f t="shared" si="16"/>
        <v>9533</v>
      </c>
      <c r="AV36" s="209">
        <f t="shared" si="16"/>
        <v>2031</v>
      </c>
      <c r="AW36" s="209">
        <f t="shared" si="16"/>
        <v>29613</v>
      </c>
      <c r="AX36" s="253">
        <f t="shared" si="16"/>
        <v>31704</v>
      </c>
      <c r="AY36" s="356">
        <f t="shared" si="16"/>
        <v>41937</v>
      </c>
      <c r="AZ36" s="356">
        <f t="shared" si="16"/>
        <v>30426</v>
      </c>
      <c r="BA36" s="360"/>
      <c r="BB36" s="148"/>
      <c r="BC36" s="148"/>
      <c r="BG36" s="3"/>
    </row>
    <row r="37" spans="1:59" ht="12.75" customHeight="1" thickTop="1">
      <c r="A37" s="8"/>
      <c r="B37" s="479"/>
      <c r="C37" s="31"/>
      <c r="D37" s="30"/>
      <c r="E37" s="30"/>
      <c r="F37" s="212"/>
      <c r="G37" s="212"/>
      <c r="H37" s="212"/>
      <c r="I37" s="216"/>
      <c r="J37" s="212"/>
      <c r="K37" s="212"/>
      <c r="L37" s="212"/>
      <c r="M37" s="216"/>
      <c r="N37" s="212"/>
      <c r="O37" s="212"/>
      <c r="P37" s="212"/>
      <c r="Q37" s="216"/>
      <c r="R37" s="212"/>
      <c r="S37" s="212"/>
      <c r="T37" s="212"/>
      <c r="U37" s="216"/>
      <c r="V37" s="212"/>
      <c r="W37" s="212"/>
      <c r="X37" s="212"/>
      <c r="Y37" s="216"/>
      <c r="Z37" s="212"/>
      <c r="AA37" s="212"/>
      <c r="AB37" s="212"/>
      <c r="AC37" s="216"/>
      <c r="AD37" s="216"/>
      <c r="AE37" s="394"/>
      <c r="AF37" s="394"/>
      <c r="AG37" s="220"/>
      <c r="AH37" s="220"/>
      <c r="AI37" s="220"/>
      <c r="AJ37" s="220"/>
      <c r="AK37" s="220"/>
      <c r="AL37" s="166"/>
      <c r="AM37" s="148"/>
      <c r="AN37" s="148"/>
      <c r="AO37" s="31"/>
      <c r="AP37" s="30"/>
      <c r="AQ37" s="166"/>
      <c r="AR37" s="927"/>
      <c r="AS37" s="927"/>
      <c r="AT37" s="927"/>
      <c r="AU37" s="927"/>
      <c r="AV37" s="927"/>
      <c r="AW37" s="238"/>
      <c r="AX37" s="238"/>
      <c r="AY37" s="28"/>
      <c r="AZ37" s="28"/>
      <c r="BA37" s="157"/>
      <c r="BB37" s="148"/>
      <c r="BC37" s="148"/>
      <c r="BG37" s="3"/>
    </row>
    <row r="38" spans="1:59" ht="12.75" customHeight="1" hidden="1" outlineLevel="1">
      <c r="A38" s="8"/>
      <c r="B38" s="479" t="s">
        <v>448</v>
      </c>
      <c r="C38" s="242">
        <f>I38-M38</f>
        <v>825</v>
      </c>
      <c r="D38" s="30" t="s">
        <v>44</v>
      </c>
      <c r="E38" s="30"/>
      <c r="F38" s="212"/>
      <c r="G38" s="212"/>
      <c r="H38" s="212"/>
      <c r="I38" s="216">
        <f>275*3</f>
        <v>825</v>
      </c>
      <c r="J38" s="853">
        <v>0</v>
      </c>
      <c r="K38" s="853">
        <v>0</v>
      </c>
      <c r="L38" s="853">
        <v>0</v>
      </c>
      <c r="M38" s="910">
        <v>0</v>
      </c>
      <c r="N38" s="853">
        <v>0</v>
      </c>
      <c r="O38" s="853">
        <v>0</v>
      </c>
      <c r="P38" s="853">
        <v>0</v>
      </c>
      <c r="Q38" s="910">
        <v>0</v>
      </c>
      <c r="R38" s="212"/>
      <c r="S38" s="212"/>
      <c r="T38" s="212"/>
      <c r="U38" s="216"/>
      <c r="V38" s="212"/>
      <c r="W38" s="212"/>
      <c r="X38" s="212"/>
      <c r="Y38" s="216"/>
      <c r="Z38" s="212"/>
      <c r="AA38" s="212"/>
      <c r="AB38" s="212"/>
      <c r="AC38" s="216"/>
      <c r="AD38" s="216"/>
      <c r="AE38" s="394"/>
      <c r="AF38" s="394"/>
      <c r="AG38" s="220"/>
      <c r="AH38" s="220"/>
      <c r="AI38" s="220"/>
      <c r="AJ38" s="220"/>
      <c r="AK38" s="220"/>
      <c r="AL38" s="166"/>
      <c r="AM38" s="148"/>
      <c r="AN38" s="148"/>
      <c r="AO38" s="31"/>
      <c r="AP38" s="30"/>
      <c r="AQ38" s="166"/>
      <c r="AR38" s="918">
        <v>0</v>
      </c>
      <c r="AS38" s="918">
        <v>0</v>
      </c>
      <c r="AT38" s="918">
        <v>0</v>
      </c>
      <c r="AU38" s="918">
        <v>0</v>
      </c>
      <c r="AV38" s="918">
        <v>0</v>
      </c>
      <c r="AW38" s="238"/>
      <c r="AX38" s="238"/>
      <c r="AY38" s="28">
        <v>11945</v>
      </c>
      <c r="AZ38" s="28">
        <v>10058</v>
      </c>
      <c r="BA38" s="157"/>
      <c r="BB38" s="148"/>
      <c r="BC38" s="148"/>
      <c r="BG38" s="3"/>
    </row>
    <row r="39" spans="1:59" ht="12.75" customHeight="1" hidden="1" outlineLevel="1">
      <c r="A39" s="8"/>
      <c r="B39" s="7" t="s">
        <v>449</v>
      </c>
      <c r="C39" s="250">
        <f>I39-M39</f>
        <v>98</v>
      </c>
      <c r="D39" s="149" t="s">
        <v>44</v>
      </c>
      <c r="E39" s="30"/>
      <c r="F39" s="212"/>
      <c r="G39" s="212"/>
      <c r="H39" s="212"/>
      <c r="I39" s="219">
        <v>98</v>
      </c>
      <c r="J39" s="948">
        <v>0</v>
      </c>
      <c r="K39" s="948">
        <v>0</v>
      </c>
      <c r="L39" s="948">
        <v>0</v>
      </c>
      <c r="M39" s="949">
        <v>0</v>
      </c>
      <c r="N39" s="948">
        <v>0</v>
      </c>
      <c r="O39" s="948">
        <v>0</v>
      </c>
      <c r="P39" s="948">
        <v>0</v>
      </c>
      <c r="Q39" s="949">
        <v>0</v>
      </c>
      <c r="R39" s="212"/>
      <c r="S39" s="212"/>
      <c r="T39" s="212"/>
      <c r="U39" s="216"/>
      <c r="V39" s="212"/>
      <c r="W39" s="212"/>
      <c r="X39" s="212"/>
      <c r="Y39" s="216"/>
      <c r="Z39" s="212"/>
      <c r="AA39" s="212"/>
      <c r="AB39" s="212"/>
      <c r="AC39" s="216"/>
      <c r="AD39" s="216"/>
      <c r="AE39" s="394"/>
      <c r="AF39" s="394"/>
      <c r="AG39" s="220"/>
      <c r="AH39" s="220"/>
      <c r="AI39" s="220"/>
      <c r="AJ39" s="220"/>
      <c r="AK39" s="220"/>
      <c r="AL39" s="166"/>
      <c r="AM39" s="148"/>
      <c r="AN39" s="148"/>
      <c r="AO39" s="31"/>
      <c r="AP39" s="30"/>
      <c r="AQ39" s="166"/>
      <c r="AR39" s="950">
        <v>0</v>
      </c>
      <c r="AS39" s="950">
        <v>0</v>
      </c>
      <c r="AT39" s="950">
        <v>0</v>
      </c>
      <c r="AU39" s="950">
        <v>0</v>
      </c>
      <c r="AV39" s="950">
        <v>0</v>
      </c>
      <c r="AW39" s="238"/>
      <c r="AX39" s="238"/>
      <c r="AY39" s="31"/>
      <c r="AZ39" s="28"/>
      <c r="BA39" s="157"/>
      <c r="BB39" s="148"/>
      <c r="BC39" s="148"/>
      <c r="BG39" s="3"/>
    </row>
    <row r="40" spans="1:59" ht="12.75" customHeight="1" collapsed="1">
      <c r="A40" s="8"/>
      <c r="B40" s="7" t="s">
        <v>451</v>
      </c>
      <c r="C40" s="242">
        <f>I40-M40</f>
        <v>923</v>
      </c>
      <c r="D40" s="30" t="s">
        <v>44</v>
      </c>
      <c r="E40" s="30"/>
      <c r="F40" s="212"/>
      <c r="G40" s="212"/>
      <c r="H40" s="212"/>
      <c r="I40" s="216">
        <f>+I38+I39</f>
        <v>923</v>
      </c>
      <c r="J40" s="853">
        <v>0</v>
      </c>
      <c r="K40" s="853">
        <v>0</v>
      </c>
      <c r="L40" s="853">
        <v>0</v>
      </c>
      <c r="M40" s="910">
        <v>0</v>
      </c>
      <c r="N40" s="853">
        <v>0</v>
      </c>
      <c r="O40" s="853">
        <v>0</v>
      </c>
      <c r="P40" s="853">
        <v>0</v>
      </c>
      <c r="Q40" s="910">
        <v>0</v>
      </c>
      <c r="R40" s="212"/>
      <c r="S40" s="212"/>
      <c r="T40" s="212"/>
      <c r="U40" s="216"/>
      <c r="V40" s="212"/>
      <c r="W40" s="212"/>
      <c r="X40" s="212"/>
      <c r="Y40" s="216"/>
      <c r="Z40" s="212"/>
      <c r="AA40" s="212"/>
      <c r="AB40" s="212"/>
      <c r="AC40" s="216"/>
      <c r="AD40" s="216"/>
      <c r="AE40" s="394"/>
      <c r="AF40" s="394"/>
      <c r="AG40" s="220"/>
      <c r="AH40" s="220"/>
      <c r="AI40" s="220"/>
      <c r="AJ40" s="220"/>
      <c r="AK40" s="220"/>
      <c r="AL40" s="166"/>
      <c r="AM40" s="148"/>
      <c r="AN40" s="148"/>
      <c r="AO40" s="31"/>
      <c r="AP40" s="30"/>
      <c r="AQ40" s="166"/>
      <c r="AR40" s="918">
        <v>0</v>
      </c>
      <c r="AS40" s="918">
        <v>0</v>
      </c>
      <c r="AT40" s="918">
        <v>0</v>
      </c>
      <c r="AU40" s="918">
        <v>0</v>
      </c>
      <c r="AV40" s="918">
        <v>0</v>
      </c>
      <c r="AW40" s="238"/>
      <c r="AX40" s="238"/>
      <c r="AY40" s="31"/>
      <c r="AZ40" s="28"/>
      <c r="BA40" s="157"/>
      <c r="BB40" s="148"/>
      <c r="BC40" s="148"/>
      <c r="BG40" s="3"/>
    </row>
    <row r="41" spans="1:59" ht="12.75" customHeight="1">
      <c r="A41" s="8"/>
      <c r="B41" s="7"/>
      <c r="C41" s="38"/>
      <c r="D41" s="30"/>
      <c r="E41" s="592"/>
      <c r="F41" s="212"/>
      <c r="G41" s="212"/>
      <c r="H41" s="212"/>
      <c r="I41" s="216"/>
      <c r="J41" s="212"/>
      <c r="K41" s="212"/>
      <c r="L41" s="212"/>
      <c r="M41" s="216"/>
      <c r="N41" s="212"/>
      <c r="O41" s="212"/>
      <c r="P41" s="212"/>
      <c r="Q41" s="216"/>
      <c r="R41" s="212"/>
      <c r="S41" s="212"/>
      <c r="T41" s="212"/>
      <c r="U41" s="216"/>
      <c r="V41" s="212"/>
      <c r="W41" s="212"/>
      <c r="X41" s="212"/>
      <c r="Y41" s="216"/>
      <c r="Z41" s="212"/>
      <c r="AA41" s="212"/>
      <c r="AB41" s="212"/>
      <c r="AC41" s="216"/>
      <c r="AD41" s="216"/>
      <c r="AE41" s="394"/>
      <c r="AF41" s="394"/>
      <c r="AG41" s="220"/>
      <c r="AH41" s="220"/>
      <c r="AI41" s="220"/>
      <c r="AJ41" s="220"/>
      <c r="AK41" s="220"/>
      <c r="AL41" s="148"/>
      <c r="AM41" s="148"/>
      <c r="AN41" s="148"/>
      <c r="AO41" s="31"/>
      <c r="AP41" s="41"/>
      <c r="AQ41" s="89"/>
      <c r="AR41" s="207"/>
      <c r="AS41" s="207"/>
      <c r="AT41" s="207"/>
      <c r="AU41" s="207"/>
      <c r="AV41" s="207"/>
      <c r="AW41" s="238"/>
      <c r="AX41" s="238"/>
      <c r="AY41" s="31"/>
      <c r="AZ41" s="43"/>
      <c r="BA41" s="360"/>
      <c r="BB41" s="148"/>
      <c r="BC41" s="148"/>
      <c r="BG41" s="3"/>
    </row>
    <row r="42" spans="1:59" s="96" customFormat="1" ht="12.75" customHeight="1" thickBot="1">
      <c r="A42" s="1443" t="s">
        <v>82</v>
      </c>
      <c r="B42" s="1444"/>
      <c r="C42" s="472" t="e">
        <f>I42-M42</f>
        <v>#REF!</v>
      </c>
      <c r="D42" s="182" t="e">
        <f>-IF(OR((C42/M42)&gt;3,(C42/M42)&lt;-3),"n.m.",(C42/M42))</f>
        <v>#REF!</v>
      </c>
      <c r="E42" s="592"/>
      <c r="F42" s="222"/>
      <c r="G42" s="222"/>
      <c r="H42" s="222"/>
      <c r="I42" s="223" t="e">
        <f>+I36-I38-I39</f>
        <v>#REF!</v>
      </c>
      <c r="J42" s="222" t="e">
        <f aca="true" t="shared" si="17" ref="J42:Q42">+J36-J38-J39</f>
        <v>#REF!</v>
      </c>
      <c r="K42" s="222" t="e">
        <f t="shared" si="17"/>
        <v>#REF!</v>
      </c>
      <c r="L42" s="222" t="e">
        <f t="shared" si="17"/>
        <v>#REF!</v>
      </c>
      <c r="M42" s="223" t="e">
        <f t="shared" si="17"/>
        <v>#REF!</v>
      </c>
      <c r="N42" s="222" t="e">
        <f t="shared" si="17"/>
        <v>#REF!</v>
      </c>
      <c r="O42" s="222">
        <f t="shared" si="17"/>
        <v>-1003</v>
      </c>
      <c r="P42" s="222">
        <f t="shared" si="17"/>
        <v>-3956</v>
      </c>
      <c r="Q42" s="223">
        <f t="shared" si="17"/>
        <v>-4834</v>
      </c>
      <c r="R42" s="222"/>
      <c r="S42" s="222"/>
      <c r="T42" s="222"/>
      <c r="U42" s="223"/>
      <c r="V42" s="222"/>
      <c r="W42" s="222"/>
      <c r="X42" s="222"/>
      <c r="Y42" s="223"/>
      <c r="Z42" s="222"/>
      <c r="AA42" s="222"/>
      <c r="AB42" s="222"/>
      <c r="AC42" s="223"/>
      <c r="AD42" s="222"/>
      <c r="AE42" s="223"/>
      <c r="AF42" s="223"/>
      <c r="AG42" s="220"/>
      <c r="AH42" s="220"/>
      <c r="AI42" s="220"/>
      <c r="AJ42" s="220"/>
      <c r="AK42" s="220"/>
      <c r="AL42" s="148"/>
      <c r="AM42" s="148"/>
      <c r="AN42" s="148"/>
      <c r="AO42" s="548"/>
      <c r="AP42" s="182"/>
      <c r="AQ42" s="89"/>
      <c r="AR42" s="209" t="e">
        <f>+AR36-AR38-AR39</f>
        <v>#REF!</v>
      </c>
      <c r="AS42" s="209" t="e">
        <f>+AS36-AS38-AS39</f>
        <v>#REF!</v>
      </c>
      <c r="AT42" s="209">
        <f>+AT36-AT38-AT39</f>
        <v>14129</v>
      </c>
      <c r="AU42" s="209">
        <f>+AU36-AU38-AU39</f>
        <v>9533</v>
      </c>
      <c r="AV42" s="209">
        <f>+AV36-AV38-AV39</f>
        <v>2031</v>
      </c>
      <c r="AW42" s="253"/>
      <c r="AX42" s="253"/>
      <c r="AY42" s="548">
        <f>AY36-AY38</f>
        <v>29992</v>
      </c>
      <c r="AZ42" s="356">
        <f>AZ36-AZ38</f>
        <v>20368</v>
      </c>
      <c r="BA42" s="370">
        <v>15914</v>
      </c>
      <c r="BB42" s="148"/>
      <c r="BC42" s="422"/>
      <c r="BG42" s="210"/>
    </row>
    <row r="43" spans="1:59" s="96" customFormat="1" ht="12.75" customHeight="1" thickTop="1">
      <c r="A43" s="143"/>
      <c r="B43" s="142"/>
      <c r="C43" s="234"/>
      <c r="D43" s="41"/>
      <c r="E43" s="41"/>
      <c r="F43" s="41"/>
      <c r="G43" s="41"/>
      <c r="H43" s="41"/>
      <c r="I43" s="234"/>
      <c r="J43" s="41"/>
      <c r="K43" s="41"/>
      <c r="L43" s="41"/>
      <c r="M43" s="234"/>
      <c r="N43" s="41"/>
      <c r="O43" s="41"/>
      <c r="P43" s="41"/>
      <c r="Q43" s="234"/>
      <c r="R43" s="41"/>
      <c r="S43" s="41"/>
      <c r="T43" s="41"/>
      <c r="U43" s="234"/>
      <c r="V43" s="41"/>
      <c r="W43" s="41"/>
      <c r="X43" s="41"/>
      <c r="Y43" s="234"/>
      <c r="Z43" s="41"/>
      <c r="AA43" s="41"/>
      <c r="AB43" s="41"/>
      <c r="AC43" s="234"/>
      <c r="AD43" s="234"/>
      <c r="AE43" s="234"/>
      <c r="AF43" s="234"/>
      <c r="AG43" s="234"/>
      <c r="AH43" s="234"/>
      <c r="AI43" s="234"/>
      <c r="AJ43" s="234"/>
      <c r="AK43" s="234"/>
      <c r="AL43" s="245"/>
      <c r="AM43" s="245"/>
      <c r="AN43" s="245"/>
      <c r="AO43" s="254"/>
      <c r="AP43" s="41"/>
      <c r="AQ43" s="245"/>
      <c r="AR43" s="276"/>
      <c r="AS43" s="276"/>
      <c r="AT43" s="276"/>
      <c r="AU43" s="234"/>
      <c r="AV43" s="234"/>
      <c r="AW43" s="83"/>
      <c r="AX43" s="234"/>
      <c r="AY43" s="31"/>
      <c r="AZ43" s="31"/>
      <c r="BA43" s="31"/>
      <c r="BB43" s="3"/>
      <c r="BC43" s="210"/>
      <c r="BD43" s="210"/>
      <c r="BG43" s="210"/>
    </row>
    <row r="44" spans="1:59" s="96" customFormat="1" ht="12.75" customHeight="1">
      <c r="A44" s="7" t="s">
        <v>401</v>
      </c>
      <c r="B44" s="142"/>
      <c r="C44" s="228" t="e">
        <f aca="true" t="shared" si="18" ref="C44:C50">(I44-M44)*100</f>
        <v>#REF!</v>
      </c>
      <c r="D44" s="41"/>
      <c r="E44" s="41"/>
      <c r="F44" s="41"/>
      <c r="G44" s="41"/>
      <c r="H44" s="41"/>
      <c r="I44" s="41" t="e">
        <f>+I18/I$16</f>
        <v>#REF!</v>
      </c>
      <c r="J44" s="41" t="e">
        <f aca="true" t="shared" si="19" ref="J44:L45">+J18/J$16</f>
        <v>#REF!</v>
      </c>
      <c r="K44" s="41" t="e">
        <f t="shared" si="19"/>
        <v>#REF!</v>
      </c>
      <c r="L44" s="41" t="e">
        <f t="shared" si="19"/>
        <v>#REF!</v>
      </c>
      <c r="M44" s="41" t="e">
        <f aca="true" t="shared" si="20" ref="M44:AK44">+M18/M$16</f>
        <v>#REF!</v>
      </c>
      <c r="N44" s="41" t="e">
        <f t="shared" si="20"/>
        <v>#REF!</v>
      </c>
      <c r="O44" s="41">
        <f t="shared" si="20"/>
        <v>0.38751176655161595</v>
      </c>
      <c r="P44" s="41">
        <f t="shared" si="20"/>
        <v>0.5500107089312487</v>
      </c>
      <c r="Q44" s="41">
        <f t="shared" si="20"/>
        <v>0.5032446463335496</v>
      </c>
      <c r="R44" s="41">
        <f t="shared" si="20"/>
        <v>0.5020112863550861</v>
      </c>
      <c r="S44" s="41">
        <f t="shared" si="20"/>
        <v>0.46831483782509964</v>
      </c>
      <c r="T44" s="41">
        <f t="shared" si="20"/>
        <v>0.478623623077762</v>
      </c>
      <c r="U44" s="41">
        <f t="shared" si="20"/>
        <v>0</v>
      </c>
      <c r="V44" s="41">
        <f t="shared" si="20"/>
        <v>0</v>
      </c>
      <c r="W44" s="41">
        <f t="shared" si="20"/>
        <v>0</v>
      </c>
      <c r="X44" s="41">
        <f t="shared" si="20"/>
        <v>0</v>
      </c>
      <c r="Y44" s="41">
        <f t="shared" si="20"/>
        <v>0</v>
      </c>
      <c r="Z44" s="41" t="e">
        <f t="shared" si="20"/>
        <v>#DIV/0!</v>
      </c>
      <c r="AA44" s="41" t="e">
        <f t="shared" si="20"/>
        <v>#DIV/0!</v>
      </c>
      <c r="AB44" s="41" t="e">
        <f t="shared" si="20"/>
        <v>#DIV/0!</v>
      </c>
      <c r="AC44" s="41" t="e">
        <f t="shared" si="20"/>
        <v>#DIV/0!</v>
      </c>
      <c r="AD44" s="41" t="e">
        <f t="shared" si="20"/>
        <v>#DIV/0!</v>
      </c>
      <c r="AE44" s="41" t="e">
        <f t="shared" si="20"/>
        <v>#DIV/0!</v>
      </c>
      <c r="AF44" s="41" t="e">
        <f t="shared" si="20"/>
        <v>#DIV/0!</v>
      </c>
      <c r="AG44" s="41" t="e">
        <f t="shared" si="20"/>
        <v>#DIV/0!</v>
      </c>
      <c r="AH44" s="41" t="e">
        <f t="shared" si="20"/>
        <v>#DIV/0!</v>
      </c>
      <c r="AI44" s="41" t="e">
        <f t="shared" si="20"/>
        <v>#DIV/0!</v>
      </c>
      <c r="AJ44" s="41" t="e">
        <f t="shared" si="20"/>
        <v>#DIV/0!</v>
      </c>
      <c r="AK44" s="41" t="e">
        <f t="shared" si="20"/>
        <v>#DIV/0!</v>
      </c>
      <c r="AL44" s="245"/>
      <c r="AM44" s="41" t="e">
        <f>+AM18/AM$16</f>
        <v>#REF!</v>
      </c>
      <c r="AN44" s="41">
        <f>+AN18/AN$16</f>
        <v>0.47009447210519595</v>
      </c>
      <c r="AO44" s="228" t="e">
        <f aca="true" t="shared" si="21" ref="AO44:AO50">(AR44-AS44)*100</f>
        <v>#REF!</v>
      </c>
      <c r="AP44" s="41"/>
      <c r="AQ44" s="245"/>
      <c r="AR44" s="41" t="e">
        <f aca="true" t="shared" si="22" ref="AR44:AW45">+AR18/AR$16</f>
        <v>#REF!</v>
      </c>
      <c r="AS44" s="41" t="e">
        <f t="shared" si="22"/>
        <v>#REF!</v>
      </c>
      <c r="AT44" s="41">
        <f t="shared" si="22"/>
        <v>0.4743463858346731</v>
      </c>
      <c r="AU44" s="41">
        <f t="shared" si="22"/>
        <v>0.4982535716884566</v>
      </c>
      <c r="AV44" s="41">
        <f t="shared" si="22"/>
        <v>0.4462331678687985</v>
      </c>
      <c r="AW44" s="41">
        <f t="shared" si="22"/>
        <v>0.4710813642970625</v>
      </c>
      <c r="AX44" s="234"/>
      <c r="AY44" s="31"/>
      <c r="AZ44" s="31"/>
      <c r="BA44" s="31"/>
      <c r="BB44" s="3"/>
      <c r="BC44" s="210"/>
      <c r="BD44" s="210"/>
      <c r="BG44" s="210"/>
    </row>
    <row r="45" spans="1:59" s="96" customFormat="1" ht="12.75" customHeight="1">
      <c r="A45" s="7" t="s">
        <v>402</v>
      </c>
      <c r="B45" s="142"/>
      <c r="C45" s="228" t="e">
        <f t="shared" si="18"/>
        <v>#REF!</v>
      </c>
      <c r="D45" s="41"/>
      <c r="E45" s="41"/>
      <c r="F45" s="41"/>
      <c r="G45" s="41"/>
      <c r="H45" s="41"/>
      <c r="I45" s="41" t="e">
        <f>+I19/I$16</f>
        <v>#REF!</v>
      </c>
      <c r="J45" s="41" t="e">
        <f t="shared" si="19"/>
        <v>#REF!</v>
      </c>
      <c r="K45" s="41" t="e">
        <f t="shared" si="19"/>
        <v>#REF!</v>
      </c>
      <c r="L45" s="41" t="e">
        <f t="shared" si="19"/>
        <v>#REF!</v>
      </c>
      <c r="M45" s="41" t="e">
        <f aca="true" t="shared" si="23" ref="M45:AK45">+M19/M$16</f>
        <v>#REF!</v>
      </c>
      <c r="N45" s="41" t="e">
        <f t="shared" si="23"/>
        <v>#REF!</v>
      </c>
      <c r="O45" s="41">
        <f t="shared" si="23"/>
        <v>0.07765924066520238</v>
      </c>
      <c r="P45" s="41">
        <f t="shared" si="23"/>
        <v>0.08385093167701864</v>
      </c>
      <c r="Q45" s="41">
        <f t="shared" si="23"/>
        <v>0.11118321436296777</v>
      </c>
      <c r="R45" s="41">
        <f t="shared" si="23"/>
        <v>-0.014701200983938649</v>
      </c>
      <c r="S45" s="41">
        <f t="shared" si="23"/>
        <v>0.06924032734907237</v>
      </c>
      <c r="T45" s="41">
        <f t="shared" si="23"/>
        <v>0.0242665503326426</v>
      </c>
      <c r="U45" s="41">
        <f t="shared" si="23"/>
        <v>0</v>
      </c>
      <c r="V45" s="41">
        <f t="shared" si="23"/>
        <v>0</v>
      </c>
      <c r="W45" s="41">
        <f t="shared" si="23"/>
        <v>0</v>
      </c>
      <c r="X45" s="41">
        <f t="shared" si="23"/>
        <v>0</v>
      </c>
      <c r="Y45" s="41">
        <f t="shared" si="23"/>
        <v>0</v>
      </c>
      <c r="Z45" s="41" t="e">
        <f t="shared" si="23"/>
        <v>#DIV/0!</v>
      </c>
      <c r="AA45" s="41" t="e">
        <f t="shared" si="23"/>
        <v>#DIV/0!</v>
      </c>
      <c r="AB45" s="41" t="e">
        <f t="shared" si="23"/>
        <v>#DIV/0!</v>
      </c>
      <c r="AC45" s="41" t="e">
        <f t="shared" si="23"/>
        <v>#DIV/0!</v>
      </c>
      <c r="AD45" s="41" t="e">
        <f t="shared" si="23"/>
        <v>#DIV/0!</v>
      </c>
      <c r="AE45" s="41" t="e">
        <f t="shared" si="23"/>
        <v>#DIV/0!</v>
      </c>
      <c r="AF45" s="41" t="e">
        <f t="shared" si="23"/>
        <v>#DIV/0!</v>
      </c>
      <c r="AG45" s="41" t="e">
        <f t="shared" si="23"/>
        <v>#DIV/0!</v>
      </c>
      <c r="AH45" s="41" t="e">
        <f t="shared" si="23"/>
        <v>#DIV/0!</v>
      </c>
      <c r="AI45" s="41" t="e">
        <f t="shared" si="23"/>
        <v>#DIV/0!</v>
      </c>
      <c r="AJ45" s="41" t="e">
        <f t="shared" si="23"/>
        <v>#DIV/0!</v>
      </c>
      <c r="AK45" s="41" t="e">
        <f t="shared" si="23"/>
        <v>#DIV/0!</v>
      </c>
      <c r="AL45" s="245"/>
      <c r="AM45" s="41" t="e">
        <f>+AM19/AM$16</f>
        <v>#REF!</v>
      </c>
      <c r="AN45" s="41">
        <f>+AN19/AN$16</f>
        <v>0.08939742116685817</v>
      </c>
      <c r="AO45" s="228" t="e">
        <f t="shared" si="21"/>
        <v>#REF!</v>
      </c>
      <c r="AP45" s="41"/>
      <c r="AQ45" s="245"/>
      <c r="AR45" s="41" t="e">
        <f t="shared" si="22"/>
        <v>#REF!</v>
      </c>
      <c r="AS45" s="41" t="e">
        <f t="shared" si="22"/>
        <v>#REF!</v>
      </c>
      <c r="AT45" s="41">
        <f t="shared" si="22"/>
        <v>0.024785005988540845</v>
      </c>
      <c r="AU45" s="41">
        <f t="shared" si="22"/>
        <v>0.04030125888374124</v>
      </c>
      <c r="AV45" s="41">
        <f t="shared" si="22"/>
        <v>0.025765844829004743</v>
      </c>
      <c r="AW45" s="41">
        <f t="shared" si="22"/>
        <v>0.033490518203022006</v>
      </c>
      <c r="AX45" s="234"/>
      <c r="AY45" s="31"/>
      <c r="AZ45" s="31"/>
      <c r="BA45" s="31"/>
      <c r="BB45" s="3"/>
      <c r="BC45" s="210"/>
      <c r="BD45" s="210"/>
      <c r="BG45" s="210"/>
    </row>
    <row r="46" spans="1:59" s="96" customFormat="1" ht="12.75" customHeight="1">
      <c r="A46" s="145" t="s">
        <v>84</v>
      </c>
      <c r="B46" s="142"/>
      <c r="C46" s="228" t="e">
        <f t="shared" si="18"/>
        <v>#REF!</v>
      </c>
      <c r="D46" s="35"/>
      <c r="E46" s="35"/>
      <c r="F46" s="35"/>
      <c r="G46" s="35"/>
      <c r="H46" s="35"/>
      <c r="I46" s="35" t="e">
        <f>I22/I16</f>
        <v>#REF!</v>
      </c>
      <c r="J46" s="35" t="e">
        <f aca="true" t="shared" si="24" ref="J46:O46">J22/J16</f>
        <v>#REF!</v>
      </c>
      <c r="K46" s="35" t="e">
        <f t="shared" si="24"/>
        <v>#REF!</v>
      </c>
      <c r="L46" s="35" t="e">
        <f t="shared" si="24"/>
        <v>#REF!</v>
      </c>
      <c r="M46" s="35" t="e">
        <f t="shared" si="24"/>
        <v>#REF!</v>
      </c>
      <c r="N46" s="35" t="e">
        <f t="shared" si="24"/>
        <v>#REF!</v>
      </c>
      <c r="O46" s="35">
        <f t="shared" si="24"/>
        <v>0.5043144022591779</v>
      </c>
      <c r="P46" s="35">
        <f aca="true" t="shared" si="25" ref="P46:AX46">P22/P16</f>
        <v>0.691904047976012</v>
      </c>
      <c r="Q46" s="35">
        <f t="shared" si="25"/>
        <v>0.6715336361669911</v>
      </c>
      <c r="R46" s="35">
        <f t="shared" si="25"/>
        <v>0.4994356822456953</v>
      </c>
      <c r="S46" s="35">
        <f t="shared" si="25"/>
        <v>0.5556793350186383</v>
      </c>
      <c r="T46" s="35">
        <f t="shared" si="25"/>
        <v>0.5263387501363289</v>
      </c>
      <c r="U46" s="35">
        <f t="shared" si="25"/>
        <v>0.48878078443295836</v>
      </c>
      <c r="V46" s="35">
        <f t="shared" si="25"/>
        <v>0.5251957061829091</v>
      </c>
      <c r="W46" s="35">
        <f t="shared" si="25"/>
        <v>0.587449377389198</v>
      </c>
      <c r="X46" s="35">
        <f t="shared" si="25"/>
        <v>0.6034845735027223</v>
      </c>
      <c r="Y46" s="35">
        <f t="shared" si="25"/>
        <v>0.5226762246117085</v>
      </c>
      <c r="Z46" s="35" t="e">
        <f t="shared" si="25"/>
        <v>#DIV/0!</v>
      </c>
      <c r="AA46" s="35" t="e">
        <f t="shared" si="25"/>
        <v>#DIV/0!</v>
      </c>
      <c r="AB46" s="35" t="e">
        <f t="shared" si="25"/>
        <v>#DIV/0!</v>
      </c>
      <c r="AC46" s="35" t="e">
        <f t="shared" si="25"/>
        <v>#DIV/0!</v>
      </c>
      <c r="AD46" s="35" t="e">
        <f t="shared" si="25"/>
        <v>#DIV/0!</v>
      </c>
      <c r="AE46" s="35" t="e">
        <f t="shared" si="25"/>
        <v>#DIV/0!</v>
      </c>
      <c r="AF46" s="35" t="e">
        <f t="shared" si="25"/>
        <v>#DIV/0!</v>
      </c>
      <c r="AG46" s="35" t="e">
        <f t="shared" si="25"/>
        <v>#DIV/0!</v>
      </c>
      <c r="AH46" s="35" t="e">
        <f t="shared" si="25"/>
        <v>#DIV/0!</v>
      </c>
      <c r="AI46" s="35" t="e">
        <f t="shared" si="25"/>
        <v>#DIV/0!</v>
      </c>
      <c r="AJ46" s="35" t="e">
        <f t="shared" si="25"/>
        <v>#DIV/0!</v>
      </c>
      <c r="AK46" s="35" t="e">
        <f t="shared" si="25"/>
        <v>#DIV/0!</v>
      </c>
      <c r="AL46" s="35"/>
      <c r="AM46" s="35" t="e">
        <f>AM22/AM16</f>
        <v>#REF!</v>
      </c>
      <c r="AN46" s="35">
        <f>AN22/AN16</f>
        <v>0.6095684922762671</v>
      </c>
      <c r="AO46" s="228" t="e">
        <f t="shared" si="21"/>
        <v>#REF!</v>
      </c>
      <c r="AP46" s="35"/>
      <c r="AQ46" s="35"/>
      <c r="AR46" s="35" t="e">
        <f>AR22/AR16</f>
        <v>#REF!</v>
      </c>
      <c r="AS46" s="35" t="e">
        <f>AS22/AS16</f>
        <v>#REF!</v>
      </c>
      <c r="AT46" s="35">
        <f t="shared" si="25"/>
        <v>0.5170322733795871</v>
      </c>
      <c r="AU46" s="35">
        <f>AU22/AU16</f>
        <v>0.5575836223833895</v>
      </c>
      <c r="AV46" s="35">
        <f t="shared" si="25"/>
        <v>0.4933768477634863</v>
      </c>
      <c r="AW46" s="35">
        <f t="shared" si="25"/>
        <v>0.5178480884291654</v>
      </c>
      <c r="AX46" s="35">
        <f t="shared" si="25"/>
        <v>0.5568878415426793</v>
      </c>
      <c r="AY46" s="358">
        <v>0.547</v>
      </c>
      <c r="AZ46" s="358">
        <v>0.569</v>
      </c>
      <c r="BA46" s="358">
        <v>0.639</v>
      </c>
      <c r="BB46" s="3"/>
      <c r="BC46" s="210"/>
      <c r="BD46" s="210"/>
      <c r="BG46" s="210"/>
    </row>
    <row r="47" spans="1:59" s="96" customFormat="1" ht="12.75" customHeight="1">
      <c r="A47" s="145" t="s">
        <v>266</v>
      </c>
      <c r="B47" s="142"/>
      <c r="C47" s="228" t="e">
        <f t="shared" si="18"/>
        <v>#REF!</v>
      </c>
      <c r="D47" s="35"/>
      <c r="E47" s="35"/>
      <c r="F47" s="35"/>
      <c r="G47" s="35"/>
      <c r="H47" s="35"/>
      <c r="I47" s="35" t="e">
        <f aca="true" t="shared" si="26" ref="I47:O47">(I22+I23)/I16</f>
        <v>#REF!</v>
      </c>
      <c r="J47" s="35" t="e">
        <f t="shared" si="26"/>
        <v>#REF!</v>
      </c>
      <c r="K47" s="35" t="e">
        <f t="shared" si="26"/>
        <v>#REF!</v>
      </c>
      <c r="L47" s="35" t="e">
        <f t="shared" si="26"/>
        <v>#REF!</v>
      </c>
      <c r="M47" s="35" t="e">
        <f t="shared" si="26"/>
        <v>#REF!</v>
      </c>
      <c r="N47" s="35" t="e">
        <f t="shared" si="26"/>
        <v>#REF!</v>
      </c>
      <c r="O47" s="35">
        <f t="shared" si="26"/>
        <v>0.6026043300909947</v>
      </c>
      <c r="P47" s="35">
        <f aca="true" t="shared" si="27" ref="P47:AX47">(P22+P23)/P16</f>
        <v>0.8218033840222746</v>
      </c>
      <c r="Q47" s="35">
        <f t="shared" si="27"/>
        <v>0.808565866320571</v>
      </c>
      <c r="R47" s="35">
        <f t="shared" si="27"/>
        <v>0.535552018521198</v>
      </c>
      <c r="S47" s="35">
        <f t="shared" si="27"/>
        <v>0.61150863361755</v>
      </c>
      <c r="T47" s="35">
        <f t="shared" si="27"/>
        <v>0.5947758752317592</v>
      </c>
      <c r="U47" s="35">
        <f t="shared" si="27"/>
        <v>0.5643052599574339</v>
      </c>
      <c r="V47" s="35">
        <f t="shared" si="27"/>
        <v>0.614447100735949</v>
      </c>
      <c r="W47" s="35">
        <f t="shared" si="27"/>
        <v>0.6507323719768366</v>
      </c>
      <c r="X47" s="35">
        <f t="shared" si="27"/>
        <v>0.7048275862068966</v>
      </c>
      <c r="Y47" s="35">
        <f t="shared" si="27"/>
        <v>0.5930704898446834</v>
      </c>
      <c r="Z47" s="35" t="e">
        <f t="shared" si="27"/>
        <v>#DIV/0!</v>
      </c>
      <c r="AA47" s="35" t="e">
        <f t="shared" si="27"/>
        <v>#DIV/0!</v>
      </c>
      <c r="AB47" s="35" t="e">
        <f t="shared" si="27"/>
        <v>#DIV/0!</v>
      </c>
      <c r="AC47" s="35" t="e">
        <f t="shared" si="27"/>
        <v>#DIV/0!</v>
      </c>
      <c r="AD47" s="35" t="e">
        <f t="shared" si="27"/>
        <v>#DIV/0!</v>
      </c>
      <c r="AE47" s="35" t="e">
        <f t="shared" si="27"/>
        <v>#DIV/0!</v>
      </c>
      <c r="AF47" s="35" t="e">
        <f t="shared" si="27"/>
        <v>#DIV/0!</v>
      </c>
      <c r="AG47" s="35" t="e">
        <f t="shared" si="27"/>
        <v>#DIV/0!</v>
      </c>
      <c r="AH47" s="35" t="e">
        <f t="shared" si="27"/>
        <v>#DIV/0!</v>
      </c>
      <c r="AI47" s="35" t="e">
        <f t="shared" si="27"/>
        <v>#DIV/0!</v>
      </c>
      <c r="AJ47" s="35" t="e">
        <f t="shared" si="27"/>
        <v>#DIV/0!</v>
      </c>
      <c r="AK47" s="35" t="e">
        <f t="shared" si="27"/>
        <v>#DIV/0!</v>
      </c>
      <c r="AL47" s="35"/>
      <c r="AM47" s="35" t="e">
        <f>(AM22+AM23)/AM16</f>
        <v>#REF!</v>
      </c>
      <c r="AN47" s="35">
        <f>(AN22+AN23)/AN16</f>
        <v>0.7287118600791523</v>
      </c>
      <c r="AO47" s="228" t="e">
        <f t="shared" si="21"/>
        <v>#REF!</v>
      </c>
      <c r="AP47" s="35"/>
      <c r="AQ47" s="35"/>
      <c r="AR47" s="35" t="e">
        <f>(AR22+AR23)/AR16</f>
        <v>#REF!</v>
      </c>
      <c r="AS47" s="35" t="e">
        <f>(AS22+AS23)/AS16</f>
        <v>#REF!</v>
      </c>
      <c r="AT47" s="35">
        <f t="shared" si="27"/>
        <v>0.5715010196704684</v>
      </c>
      <c r="AU47" s="35">
        <f t="shared" si="27"/>
        <v>0.6357484172993426</v>
      </c>
      <c r="AV47" s="35">
        <f t="shared" si="27"/>
        <v>0.5696596549927324</v>
      </c>
      <c r="AW47" s="35">
        <f t="shared" si="27"/>
        <v>0.5562738735084339</v>
      </c>
      <c r="AX47" s="35">
        <f t="shared" si="27"/>
        <v>0.5807611742599267</v>
      </c>
      <c r="AY47" s="358">
        <v>0.573</v>
      </c>
      <c r="AZ47" s="358">
        <v>0.645</v>
      </c>
      <c r="BA47" s="358">
        <v>0.708</v>
      </c>
      <c r="BB47" s="3"/>
      <c r="BC47" s="210"/>
      <c r="BD47" s="210"/>
      <c r="BG47" s="210"/>
    </row>
    <row r="48" spans="1:59" s="96" customFormat="1" ht="12.75" customHeight="1">
      <c r="A48" s="145" t="s">
        <v>85</v>
      </c>
      <c r="B48" s="142"/>
      <c r="C48" s="228" t="e">
        <f t="shared" si="18"/>
        <v>#REF!</v>
      </c>
      <c r="D48" s="35"/>
      <c r="E48" s="35"/>
      <c r="F48" s="35"/>
      <c r="G48" s="35"/>
      <c r="H48" s="35"/>
      <c r="I48" s="35" t="e">
        <f aca="true" t="shared" si="28" ref="I48:S48">(I35-I22-I23)/I16</f>
        <v>#REF!</v>
      </c>
      <c r="J48" s="35" t="e">
        <f t="shared" si="28"/>
        <v>#REF!</v>
      </c>
      <c r="K48" s="35" t="e">
        <f t="shared" si="28"/>
        <v>#REF!</v>
      </c>
      <c r="L48" s="35" t="e">
        <f t="shared" si="28"/>
        <v>#REF!</v>
      </c>
      <c r="M48" s="35" t="e">
        <f t="shared" si="28"/>
        <v>#REF!</v>
      </c>
      <c r="N48" s="35" t="e">
        <f t="shared" si="28"/>
        <v>#REF!</v>
      </c>
      <c r="O48" s="35">
        <f t="shared" si="28"/>
        <v>0.4760746783809225</v>
      </c>
      <c r="P48" s="35">
        <f t="shared" si="28"/>
        <v>0.6018419361747698</v>
      </c>
      <c r="Q48" s="35">
        <f t="shared" si="28"/>
        <v>0.7142548128920614</v>
      </c>
      <c r="R48" s="35">
        <f t="shared" si="28"/>
        <v>0.1941542468528433</v>
      </c>
      <c r="S48" s="35">
        <f t="shared" si="28"/>
        <v>0.26187925789451133</v>
      </c>
      <c r="T48" s="35">
        <f aca="true" t="shared" si="29" ref="T48:AK48">(T25+T26+T27+T28+T29+T30+T32)/T16</f>
        <v>0.2713491111353474</v>
      </c>
      <c r="U48" s="35">
        <f t="shared" si="29"/>
        <v>0.3445424141076315</v>
      </c>
      <c r="V48" s="35">
        <f t="shared" si="29"/>
        <v>0.1931748933577087</v>
      </c>
      <c r="W48" s="35">
        <f t="shared" si="29"/>
        <v>0.16759395935051663</v>
      </c>
      <c r="X48" s="35">
        <f t="shared" si="29"/>
        <v>0.32029038112522684</v>
      </c>
      <c r="Y48" s="35">
        <f t="shared" si="29"/>
        <v>0.21639187574671445</v>
      </c>
      <c r="Z48" s="35" t="e">
        <f t="shared" si="29"/>
        <v>#DIV/0!</v>
      </c>
      <c r="AA48" s="35" t="e">
        <f t="shared" si="29"/>
        <v>#DIV/0!</v>
      </c>
      <c r="AB48" s="35" t="e">
        <f t="shared" si="29"/>
        <v>#DIV/0!</v>
      </c>
      <c r="AC48" s="35" t="e">
        <f t="shared" si="29"/>
        <v>#DIV/0!</v>
      </c>
      <c r="AD48" s="35" t="e">
        <f t="shared" si="29"/>
        <v>#DIV/0!</v>
      </c>
      <c r="AE48" s="35" t="e">
        <f t="shared" si="29"/>
        <v>#DIV/0!</v>
      </c>
      <c r="AF48" s="35" t="e">
        <f t="shared" si="29"/>
        <v>#DIV/0!</v>
      </c>
      <c r="AG48" s="35" t="e">
        <f t="shared" si="29"/>
        <v>#DIV/0!</v>
      </c>
      <c r="AH48" s="35" t="e">
        <f t="shared" si="29"/>
        <v>#DIV/0!</v>
      </c>
      <c r="AI48" s="35" t="e">
        <f t="shared" si="29"/>
        <v>#DIV/0!</v>
      </c>
      <c r="AJ48" s="35" t="e">
        <f t="shared" si="29"/>
        <v>#DIV/0!</v>
      </c>
      <c r="AK48" s="35" t="e">
        <f t="shared" si="29"/>
        <v>#DIV/0!</v>
      </c>
      <c r="AL48" s="35"/>
      <c r="AM48" s="35" t="e">
        <f>(AM35-AM22-AM23)/AM16</f>
        <v>#REF!</v>
      </c>
      <c r="AN48" s="35">
        <f>(AN35-AN22-AN23)/AN16</f>
        <v>0.5838439933614197</v>
      </c>
      <c r="AO48" s="228" t="e">
        <f t="shared" si="21"/>
        <v>#REF!</v>
      </c>
      <c r="AP48" s="35"/>
      <c r="AQ48" s="35"/>
      <c r="AR48" s="35" t="e">
        <f aca="true" t="shared" si="30" ref="AR48:AW48">+(AR35-AR23-AR22)/AR16</f>
        <v>#REF!</v>
      </c>
      <c r="AS48" s="35" t="e">
        <f t="shared" si="30"/>
        <v>#REF!</v>
      </c>
      <c r="AT48" s="35">
        <f t="shared" si="30"/>
        <v>0.2760447575989728</v>
      </c>
      <c r="AU48" s="35">
        <f t="shared" si="30"/>
        <v>0.24863560288160672</v>
      </c>
      <c r="AV48" s="35">
        <f t="shared" si="30"/>
        <v>0.4024901955406851</v>
      </c>
      <c r="AW48" s="35">
        <f t="shared" si="30"/>
        <v>0.19347260250819728</v>
      </c>
      <c r="AX48" s="35">
        <f>(AX25+AX26+AX27+AX28+AX29+AX30+AX32)/AX16</f>
        <v>0.1730123525244124</v>
      </c>
      <c r="AY48" s="371">
        <v>0.094</v>
      </c>
      <c r="AZ48" s="371">
        <v>0.093</v>
      </c>
      <c r="BA48" s="371">
        <v>0.104</v>
      </c>
      <c r="BB48" s="3"/>
      <c r="BC48" s="210"/>
      <c r="BD48" s="210"/>
      <c r="BG48" s="210"/>
    </row>
    <row r="49" spans="1:59" s="96" customFormat="1" ht="12.75" customHeight="1">
      <c r="A49" s="145" t="s">
        <v>86</v>
      </c>
      <c r="B49" s="142"/>
      <c r="C49" s="228" t="e">
        <f t="shared" si="18"/>
        <v>#REF!</v>
      </c>
      <c r="D49" s="35"/>
      <c r="E49" s="35"/>
      <c r="F49" s="35"/>
      <c r="G49" s="35"/>
      <c r="H49" s="35"/>
      <c r="I49" s="35" t="e">
        <f>I35/I16</f>
        <v>#REF!</v>
      </c>
      <c r="J49" s="35" t="e">
        <f>J35/J16</f>
        <v>#REF!</v>
      </c>
      <c r="K49" s="35" t="e">
        <f>K35/K16</f>
        <v>#REF!</v>
      </c>
      <c r="L49" s="35" t="e">
        <f aca="true" t="shared" si="31" ref="L49:AK49">L35/L16</f>
        <v>#REF!</v>
      </c>
      <c r="M49" s="35" t="e">
        <f t="shared" si="31"/>
        <v>#REF!</v>
      </c>
      <c r="N49" s="35" t="e">
        <f t="shared" si="31"/>
        <v>#REF!</v>
      </c>
      <c r="O49" s="35">
        <f t="shared" si="31"/>
        <v>1.0786790084719171</v>
      </c>
      <c r="P49" s="35">
        <f t="shared" si="31"/>
        <v>1.4236453201970443</v>
      </c>
      <c r="Q49" s="35">
        <f t="shared" si="31"/>
        <v>1.5228206792126324</v>
      </c>
      <c r="R49" s="35">
        <f t="shared" si="31"/>
        <v>0.7297062653740414</v>
      </c>
      <c r="S49" s="35">
        <f t="shared" si="31"/>
        <v>0.8733878915120613</v>
      </c>
      <c r="T49" s="35">
        <f t="shared" si="31"/>
        <v>0.9213109390337005</v>
      </c>
      <c r="U49" s="35">
        <f t="shared" si="31"/>
        <v>0.9762237762237762</v>
      </c>
      <c r="V49" s="35">
        <f t="shared" si="31"/>
        <v>0.9000609384521633</v>
      </c>
      <c r="W49" s="35">
        <f t="shared" si="31"/>
        <v>0.8313841262631997</v>
      </c>
      <c r="X49" s="35">
        <f t="shared" si="31"/>
        <v>1.0500181488203266</v>
      </c>
      <c r="Y49" s="35">
        <f t="shared" si="31"/>
        <v>0.826284348864994</v>
      </c>
      <c r="Z49" s="35" t="e">
        <f t="shared" si="31"/>
        <v>#DIV/0!</v>
      </c>
      <c r="AA49" s="35" t="e">
        <f t="shared" si="31"/>
        <v>#DIV/0!</v>
      </c>
      <c r="AB49" s="35" t="e">
        <f t="shared" si="31"/>
        <v>#DIV/0!</v>
      </c>
      <c r="AC49" s="35" t="e">
        <f t="shared" si="31"/>
        <v>#DIV/0!</v>
      </c>
      <c r="AD49" s="35" t="e">
        <f t="shared" si="31"/>
        <v>#DIV/0!</v>
      </c>
      <c r="AE49" s="35" t="e">
        <f t="shared" si="31"/>
        <v>#DIV/0!</v>
      </c>
      <c r="AF49" s="35" t="e">
        <f t="shared" si="31"/>
        <v>#DIV/0!</v>
      </c>
      <c r="AG49" s="35" t="e">
        <f t="shared" si="31"/>
        <v>#DIV/0!</v>
      </c>
      <c r="AH49" s="35" t="e">
        <f t="shared" si="31"/>
        <v>#DIV/0!</v>
      </c>
      <c r="AI49" s="35" t="e">
        <f t="shared" si="31"/>
        <v>#DIV/0!</v>
      </c>
      <c r="AJ49" s="35" t="e">
        <f t="shared" si="31"/>
        <v>#DIV/0!</v>
      </c>
      <c r="AK49" s="35" t="e">
        <f t="shared" si="31"/>
        <v>#DIV/0!</v>
      </c>
      <c r="AL49" s="35"/>
      <c r="AM49" s="35" t="e">
        <f>AM35/AM16</f>
        <v>#REF!</v>
      </c>
      <c r="AN49" s="35">
        <f>AN35/AN16</f>
        <v>1.312555853440572</v>
      </c>
      <c r="AO49" s="228" t="e">
        <f t="shared" si="21"/>
        <v>#REF!</v>
      </c>
      <c r="AP49" s="35"/>
      <c r="AQ49" s="35"/>
      <c r="AR49" s="35" t="e">
        <f>AR35/AR16</f>
        <v>#REF!</v>
      </c>
      <c r="AS49" s="35" t="e">
        <f aca="true" t="shared" si="32" ref="AS49:AX49">AS35/AS16</f>
        <v>#REF!</v>
      </c>
      <c r="AT49" s="35">
        <f t="shared" si="32"/>
        <v>0.8475457772694411</v>
      </c>
      <c r="AU49" s="35">
        <f t="shared" si="32"/>
        <v>0.8843840201809494</v>
      </c>
      <c r="AV49" s="35">
        <f t="shared" si="32"/>
        <v>0.9721498505334174</v>
      </c>
      <c r="AW49" s="35">
        <f t="shared" si="32"/>
        <v>0.7497464760166311</v>
      </c>
      <c r="AX49" s="35">
        <f t="shared" si="32"/>
        <v>0.7558451159781906</v>
      </c>
      <c r="AY49" s="371">
        <v>0.6669999999999999</v>
      </c>
      <c r="AZ49" s="371">
        <v>0.738</v>
      </c>
      <c r="BA49" s="371">
        <v>0.8119999999999999</v>
      </c>
      <c r="BB49" s="3"/>
      <c r="BC49" s="210"/>
      <c r="BD49" s="210"/>
      <c r="BG49" s="210"/>
    </row>
    <row r="50" spans="1:59" s="96" customFormat="1" ht="12.75" customHeight="1">
      <c r="A50" s="145" t="s">
        <v>87</v>
      </c>
      <c r="B50" s="142"/>
      <c r="C50" s="228" t="e">
        <f t="shared" si="18"/>
        <v>#REF!</v>
      </c>
      <c r="D50" s="35"/>
      <c r="E50" s="35"/>
      <c r="F50" s="35"/>
      <c r="G50" s="35"/>
      <c r="H50" s="35"/>
      <c r="I50" s="35" t="e">
        <f>I36/I16</f>
        <v>#REF!</v>
      </c>
      <c r="J50" s="35" t="e">
        <f>J36/J16</f>
        <v>#REF!</v>
      </c>
      <c r="K50" s="35" t="e">
        <f>K36/K16</f>
        <v>#REF!</v>
      </c>
      <c r="L50" s="35" t="e">
        <f aca="true" t="shared" si="33" ref="L50:AK50">L36/L16</f>
        <v>#REF!</v>
      </c>
      <c r="M50" s="35" t="e">
        <f t="shared" si="33"/>
        <v>#REF!</v>
      </c>
      <c r="N50" s="35" t="e">
        <f t="shared" si="33"/>
        <v>#REF!</v>
      </c>
      <c r="O50" s="35">
        <f t="shared" si="33"/>
        <v>-0.07867900847191717</v>
      </c>
      <c r="P50" s="35">
        <f t="shared" si="33"/>
        <v>-0.4236453201970443</v>
      </c>
      <c r="Q50" s="35">
        <f t="shared" si="33"/>
        <v>-0.5228206792126325</v>
      </c>
      <c r="R50" s="35">
        <f t="shared" si="33"/>
        <v>0.2702937346259586</v>
      </c>
      <c r="S50" s="35">
        <f t="shared" si="33"/>
        <v>0.12661210848793863</v>
      </c>
      <c r="T50" s="35">
        <f t="shared" si="33"/>
        <v>0.07868906096629949</v>
      </c>
      <c r="U50" s="35">
        <f t="shared" si="33"/>
        <v>0.023776223776223775</v>
      </c>
      <c r="V50" s="35">
        <f t="shared" si="33"/>
        <v>0.09993906154783669</v>
      </c>
      <c r="W50" s="35">
        <f t="shared" si="33"/>
        <v>0.16861587373680026</v>
      </c>
      <c r="X50" s="35">
        <f t="shared" si="33"/>
        <v>-0.05001814882032668</v>
      </c>
      <c r="Y50" s="35">
        <f t="shared" si="33"/>
        <v>0.17371565113500598</v>
      </c>
      <c r="Z50" s="35" t="e">
        <f t="shared" si="33"/>
        <v>#DIV/0!</v>
      </c>
      <c r="AA50" s="35" t="e">
        <f t="shared" si="33"/>
        <v>#DIV/0!</v>
      </c>
      <c r="AB50" s="35" t="e">
        <f t="shared" si="33"/>
        <v>#DIV/0!</v>
      </c>
      <c r="AC50" s="35" t="e">
        <f t="shared" si="33"/>
        <v>#DIV/0!</v>
      </c>
      <c r="AD50" s="35" t="e">
        <f t="shared" si="33"/>
        <v>#DIV/0!</v>
      </c>
      <c r="AE50" s="35" t="e">
        <f t="shared" si="33"/>
        <v>#DIV/0!</v>
      </c>
      <c r="AF50" s="35" t="e">
        <f t="shared" si="33"/>
        <v>#DIV/0!</v>
      </c>
      <c r="AG50" s="35" t="e">
        <f t="shared" si="33"/>
        <v>#DIV/0!</v>
      </c>
      <c r="AH50" s="35" t="e">
        <f t="shared" si="33"/>
        <v>#DIV/0!</v>
      </c>
      <c r="AI50" s="35" t="e">
        <f t="shared" si="33"/>
        <v>#DIV/0!</v>
      </c>
      <c r="AJ50" s="35" t="e">
        <f t="shared" si="33"/>
        <v>#DIV/0!</v>
      </c>
      <c r="AK50" s="35" t="e">
        <f t="shared" si="33"/>
        <v>#DIV/0!</v>
      </c>
      <c r="AL50" s="35"/>
      <c r="AM50" s="35" t="e">
        <f>AM36/AM16</f>
        <v>#REF!</v>
      </c>
      <c r="AN50" s="35">
        <f>AN36/AN16</f>
        <v>-0.31255585344057196</v>
      </c>
      <c r="AO50" s="228" t="e">
        <f t="shared" si="21"/>
        <v>#REF!</v>
      </c>
      <c r="AP50" s="35"/>
      <c r="AQ50" s="35"/>
      <c r="AR50" s="35" t="e">
        <f>AR36/AR16</f>
        <v>#REF!</v>
      </c>
      <c r="AS50" s="35" t="e">
        <f aca="true" t="shared" si="34" ref="AS50:AZ50">AS36/AS16</f>
        <v>#REF!</v>
      </c>
      <c r="AT50" s="35">
        <f t="shared" si="34"/>
        <v>0.15245422273055884</v>
      </c>
      <c r="AU50" s="35">
        <f t="shared" si="34"/>
        <v>0.11561597981905063</v>
      </c>
      <c r="AV50" s="35">
        <f t="shared" si="34"/>
        <v>0.027850149466582562</v>
      </c>
      <c r="AW50" s="35">
        <f t="shared" si="34"/>
        <v>0.2502535239833688</v>
      </c>
      <c r="AX50" s="35">
        <f t="shared" si="34"/>
        <v>0.24415488402180943</v>
      </c>
      <c r="AY50" s="358">
        <f t="shared" si="34"/>
        <v>0.33309769658459093</v>
      </c>
      <c r="AZ50" s="358">
        <f t="shared" si="34"/>
        <v>0.26208975794642086</v>
      </c>
      <c r="BA50" s="358">
        <v>0.18800000000000006</v>
      </c>
      <c r="BB50" s="3"/>
      <c r="BC50" s="210"/>
      <c r="BD50" s="210"/>
      <c r="BG50" s="210"/>
    </row>
    <row r="51" spans="1:59" s="96" customFormat="1" ht="12.75" customHeight="1">
      <c r="A51" s="143"/>
      <c r="B51" s="142"/>
      <c r="C51" s="35"/>
      <c r="D51" s="35"/>
      <c r="E51" s="35"/>
      <c r="F51" s="35"/>
      <c r="G51" s="35"/>
      <c r="H51" s="35"/>
      <c r="I51" s="83"/>
      <c r="J51" s="35"/>
      <c r="K51" s="35"/>
      <c r="L51" s="35"/>
      <c r="M51" s="83"/>
      <c r="N51" s="35"/>
      <c r="O51" s="35"/>
      <c r="P51" s="35"/>
      <c r="Q51" s="83"/>
      <c r="R51" s="35"/>
      <c r="S51" s="35"/>
      <c r="T51" s="35"/>
      <c r="U51" s="83"/>
      <c r="V51" s="35"/>
      <c r="W51" s="35"/>
      <c r="X51" s="35"/>
      <c r="Y51" s="83"/>
      <c r="Z51" s="35"/>
      <c r="AA51" s="35"/>
      <c r="AB51" s="35"/>
      <c r="AC51" s="83"/>
      <c r="AD51" s="83"/>
      <c r="AE51" s="83"/>
      <c r="AF51" s="83"/>
      <c r="AG51" s="83"/>
      <c r="AH51" s="83"/>
      <c r="AI51" s="83"/>
      <c r="AJ51" s="83"/>
      <c r="AK51" s="83"/>
      <c r="AL51" s="35"/>
      <c r="AM51" s="35"/>
      <c r="AN51" s="35"/>
      <c r="AO51" s="254"/>
      <c r="AP51" s="41"/>
      <c r="AQ51" s="35"/>
      <c r="AR51" s="276"/>
      <c r="AS51" s="276"/>
      <c r="AT51" s="276"/>
      <c r="AU51" s="35"/>
      <c r="AV51" s="35"/>
      <c r="AW51" s="35"/>
      <c r="AX51" s="35"/>
      <c r="AY51" s="358"/>
      <c r="AZ51" s="358"/>
      <c r="BA51" s="358"/>
      <c r="BB51" s="3"/>
      <c r="BC51" s="210"/>
      <c r="BD51" s="210"/>
      <c r="BG51" s="210"/>
    </row>
    <row r="52" spans="1:59" s="96" customFormat="1" ht="12.75" customHeight="1">
      <c r="A52" s="83" t="s">
        <v>100</v>
      </c>
      <c r="B52" s="142"/>
      <c r="C52" s="167">
        <f>I52-M52</f>
        <v>-17</v>
      </c>
      <c r="D52" s="41">
        <f>IF(OR((C52/M52)&gt;3,(C52/M52)&lt;-3),"n.m.",(C52/M52))</f>
        <v>-0.024495677233429394</v>
      </c>
      <c r="E52" s="41"/>
      <c r="F52" s="460"/>
      <c r="G52" s="460"/>
      <c r="H52" s="460"/>
      <c r="I52" s="180">
        <f>+'12 Misc Operating Stats'!I19+'12 Misc Operating Stats'!I18</f>
        <v>677</v>
      </c>
      <c r="J52" s="460">
        <f>+'12 Misc Operating Stats'!J18+'12 Misc Operating Stats'!J19</f>
        <v>694</v>
      </c>
      <c r="K52" s="460">
        <f>+'12 Misc Operating Stats'!K18+'12 Misc Operating Stats'!K19</f>
        <v>722</v>
      </c>
      <c r="L52" s="460">
        <f>+'12 Misc Operating Stats'!L19+'12 Misc Operating Stats'!L18</f>
        <v>682</v>
      </c>
      <c r="M52" s="180">
        <f>+'12 Misc Operating Stats'!M18+'12 Misc Operating Stats'!M19</f>
        <v>694</v>
      </c>
      <c r="N52" s="180">
        <f>'12 Misc Operating Stats'!N18+'12 Misc Operating Stats'!N19</f>
        <v>737</v>
      </c>
      <c r="O52" s="180">
        <f>'12 Misc Operating Stats'!O18</f>
        <v>143</v>
      </c>
      <c r="P52" s="180">
        <f>'12 Misc Operating Stats'!P18</f>
        <v>152</v>
      </c>
      <c r="Q52" s="180">
        <f>'[3]11 Misc Operating Stats'!I18</f>
        <v>155</v>
      </c>
      <c r="R52" s="180">
        <f>'[3]11 Misc Operating Stats'!J18</f>
        <v>143</v>
      </c>
      <c r="S52" s="180">
        <f>'[3]11 Misc Operating Stats'!K18</f>
        <v>140</v>
      </c>
      <c r="T52" s="180">
        <f>'[3]11 Misc Operating Stats'!L18</f>
        <v>142</v>
      </c>
      <c r="U52" s="180">
        <f>'[3]11 Misc Operating Stats'!M18</f>
        <v>137</v>
      </c>
      <c r="V52" s="180">
        <f>'[3]11 Misc Operating Stats'!N18</f>
        <v>138</v>
      </c>
      <c r="W52" s="180">
        <f>'[3]11 Misc Operating Stats'!O18</f>
        <v>136</v>
      </c>
      <c r="X52" s="180">
        <f>'[3]11 Misc Operating Stats'!P18</f>
        <v>124</v>
      </c>
      <c r="Y52" s="180">
        <f>'[3]11 Misc Operating Stats'!Q18</f>
        <v>111</v>
      </c>
      <c r="Z52" s="180">
        <f>'[3]11 Misc Operating Stats'!R18</f>
        <v>114</v>
      </c>
      <c r="AA52" s="180">
        <f>'[3]11 Misc Operating Stats'!S18</f>
        <v>117</v>
      </c>
      <c r="AB52" s="180">
        <f>'[3]11 Misc Operating Stats'!T18</f>
        <v>127</v>
      </c>
      <c r="AC52" s="180">
        <f>'[3]11 Misc Operating Stats'!U18</f>
        <v>125</v>
      </c>
      <c r="AD52" s="180">
        <f>'[3]11 Misc Operating Stats'!V18</f>
        <v>125</v>
      </c>
      <c r="AE52" s="180">
        <f>'[3]11 Misc Operating Stats'!W18</f>
        <v>116</v>
      </c>
      <c r="AF52" s="180">
        <f>'[3]11 Misc Operating Stats'!X18</f>
        <v>109</v>
      </c>
      <c r="AG52" s="180">
        <f>'[3]11 Misc Operating Stats'!Y18</f>
        <v>104</v>
      </c>
      <c r="AH52" s="180">
        <f>'[3]11 Misc Operating Stats'!Z18</f>
        <v>93</v>
      </c>
      <c r="AI52" s="180">
        <f>'[3]11 Misc Operating Stats'!AA18</f>
        <v>95</v>
      </c>
      <c r="AJ52" s="180">
        <f>'[3]11 Misc Operating Stats'!AB18</f>
        <v>89</v>
      </c>
      <c r="AK52" s="180">
        <f>'[3]11 Misc Operating Stats'!AC18</f>
        <v>88</v>
      </c>
      <c r="AL52" s="180"/>
      <c r="AM52" s="460">
        <f>K52</f>
        <v>722</v>
      </c>
      <c r="AN52" s="460">
        <f>O52</f>
        <v>143</v>
      </c>
      <c r="AO52" s="460">
        <f>AR52-AS52</f>
        <v>-43</v>
      </c>
      <c r="AP52" s="460"/>
      <c r="AQ52" s="460"/>
      <c r="AR52" s="460">
        <f>+J52</f>
        <v>694</v>
      </c>
      <c r="AS52" s="460">
        <f>N52</f>
        <v>737</v>
      </c>
      <c r="AT52" s="460">
        <f>R52</f>
        <v>143</v>
      </c>
      <c r="AU52" s="460">
        <f>V52</f>
        <v>138</v>
      </c>
      <c r="AV52" s="460">
        <f>'[4]11 Misc Operating Stats'!AL18</f>
        <v>113</v>
      </c>
      <c r="AW52" s="460">
        <f>'[4]11 Misc Operating Stats'!AM18</f>
        <v>124</v>
      </c>
      <c r="AX52" s="460">
        <f>'[4]11 Misc Operating Stats'!AN18</f>
        <v>92</v>
      </c>
      <c r="AY52" s="352">
        <v>81</v>
      </c>
      <c r="AZ52" s="352">
        <v>70</v>
      </c>
      <c r="BA52" s="352">
        <v>52</v>
      </c>
      <c r="BB52" s="3"/>
      <c r="BC52" s="210"/>
      <c r="BD52" s="210"/>
      <c r="BG52" s="210"/>
    </row>
    <row r="53" spans="1:59" s="96" customFormat="1" ht="12.75" customHeight="1">
      <c r="A53" s="83"/>
      <c r="B53" s="142"/>
      <c r="C53" s="167"/>
      <c r="D53" s="41"/>
      <c r="E53" s="41"/>
      <c r="F53" s="83"/>
      <c r="G53" s="83"/>
      <c r="H53" s="83"/>
      <c r="I53" s="83"/>
      <c r="J53" s="83"/>
      <c r="K53" s="83"/>
      <c r="L53" s="83"/>
      <c r="M53" s="83"/>
      <c r="N53" s="148"/>
      <c r="O53" s="83"/>
      <c r="P53" s="83"/>
      <c r="Q53" s="83"/>
      <c r="R53" s="148"/>
      <c r="S53" s="83"/>
      <c r="T53" s="144"/>
      <c r="U53" s="83"/>
      <c r="V53" s="148"/>
      <c r="W53" s="83"/>
      <c r="X53" s="144"/>
      <c r="Y53" s="83"/>
      <c r="Z53" s="148"/>
      <c r="AA53" s="83"/>
      <c r="AB53" s="144"/>
      <c r="AC53" s="83"/>
      <c r="AD53" s="83"/>
      <c r="AE53" s="83"/>
      <c r="AF53" s="83"/>
      <c r="AG53" s="83"/>
      <c r="AH53" s="83"/>
      <c r="AI53" s="83"/>
      <c r="AJ53" s="83"/>
      <c r="AK53" s="83"/>
      <c r="AL53" s="245"/>
      <c r="AM53" s="245"/>
      <c r="AN53" s="245"/>
      <c r="AO53" s="254"/>
      <c r="AP53" s="41"/>
      <c r="AQ53" s="245"/>
      <c r="AR53" s="276"/>
      <c r="AS53" s="276"/>
      <c r="AT53" s="276"/>
      <c r="AU53" s="234"/>
      <c r="AV53" s="234"/>
      <c r="AW53" s="83"/>
      <c r="AX53" s="83"/>
      <c r="AY53" s="352"/>
      <c r="AZ53" s="352"/>
      <c r="BA53" s="352"/>
      <c r="BB53" s="3"/>
      <c r="BC53" s="210"/>
      <c r="BD53" s="210"/>
      <c r="BG53" s="210"/>
    </row>
    <row r="54" spans="1:59" ht="18" customHeight="1">
      <c r="A54" s="12" t="s">
        <v>324</v>
      </c>
      <c r="B54" s="7"/>
      <c r="C54" s="83"/>
      <c r="D54" s="83"/>
      <c r="E54" s="148"/>
      <c r="F54" s="148"/>
      <c r="G54" s="148"/>
      <c r="H54" s="148"/>
      <c r="I54" s="148"/>
      <c r="J54" s="148"/>
      <c r="K54" s="148"/>
      <c r="L54" s="148"/>
      <c r="M54" s="148"/>
      <c r="N54" s="610"/>
      <c r="O54" s="148"/>
      <c r="P54" s="148"/>
      <c r="Q54" s="148"/>
      <c r="R54" s="148"/>
      <c r="S54" s="148"/>
      <c r="T54" s="148"/>
      <c r="U54" s="148"/>
      <c r="V54" s="148"/>
      <c r="W54" s="148"/>
      <c r="X54" s="148"/>
      <c r="Y54" s="148"/>
      <c r="Z54" s="148"/>
      <c r="AA54" s="148"/>
      <c r="AB54" s="148"/>
      <c r="AC54" s="148"/>
      <c r="AD54" s="148"/>
      <c r="AE54" s="148"/>
      <c r="AF54" s="83"/>
      <c r="AG54" s="83"/>
      <c r="AH54" s="83"/>
      <c r="AI54" s="83"/>
      <c r="AJ54" s="83"/>
      <c r="AK54" s="83"/>
      <c r="AL54" s="83"/>
      <c r="AM54" s="83"/>
      <c r="AN54" s="83"/>
      <c r="AO54" s="633"/>
      <c r="AP54" s="633"/>
      <c r="AQ54" s="83"/>
      <c r="AR54" s="633"/>
      <c r="AS54" s="633"/>
      <c r="AT54" s="633"/>
      <c r="AU54" s="83"/>
      <c r="AV54" s="83"/>
      <c r="AW54" s="83"/>
      <c r="AX54" s="83"/>
      <c r="AY54" s="357"/>
      <c r="AZ54" s="357"/>
      <c r="BA54" s="357"/>
      <c r="BB54" s="3"/>
      <c r="BC54" s="3"/>
      <c r="BD54" s="3"/>
      <c r="BG54" s="3"/>
    </row>
    <row r="55" spans="1:59" ht="12.75" customHeight="1">
      <c r="A55" s="193"/>
      <c r="B55" s="689"/>
      <c r="C55" s="83"/>
      <c r="D55" s="83"/>
      <c r="E55" s="148"/>
      <c r="F55" s="148"/>
      <c r="G55" s="148"/>
      <c r="H55" s="148"/>
      <c r="I55" s="148"/>
      <c r="J55" s="148"/>
      <c r="K55" s="148"/>
      <c r="L55" s="148"/>
      <c r="M55" s="148"/>
      <c r="N55" s="468"/>
      <c r="O55" s="148"/>
      <c r="P55" s="148"/>
      <c r="Q55" s="148"/>
      <c r="R55" s="468"/>
      <c r="S55" s="148"/>
      <c r="T55" s="468"/>
      <c r="U55" s="148"/>
      <c r="V55" s="468"/>
      <c r="W55" s="148"/>
      <c r="X55" s="468"/>
      <c r="Y55" s="148"/>
      <c r="Z55" s="468"/>
      <c r="AA55" s="148"/>
      <c r="AB55" s="148"/>
      <c r="AC55" s="148"/>
      <c r="AD55" s="148"/>
      <c r="AE55" s="148"/>
      <c r="AF55" s="83"/>
      <c r="AG55" s="83"/>
      <c r="AH55" s="83"/>
      <c r="AI55" s="83"/>
      <c r="AJ55" s="83"/>
      <c r="AK55" s="83"/>
      <c r="AL55" s="83"/>
      <c r="AM55" s="83"/>
      <c r="AN55" s="83"/>
      <c r="AO55" s="633"/>
      <c r="AP55" s="633"/>
      <c r="AQ55" s="83"/>
      <c r="AR55" s="633"/>
      <c r="AS55" s="633"/>
      <c r="AT55" s="633"/>
      <c r="AU55" s="83"/>
      <c r="AV55" s="83"/>
      <c r="AW55" s="83"/>
      <c r="AX55" s="83"/>
      <c r="AY55" s="357"/>
      <c r="AZ55" s="357"/>
      <c r="BA55" s="357"/>
      <c r="BB55" s="3"/>
      <c r="BC55" s="3"/>
      <c r="BD55" s="3"/>
      <c r="BG55" s="3"/>
    </row>
    <row r="56" spans="1:59" ht="12.75" customHeight="1">
      <c r="A56" s="6"/>
      <c r="B56" s="7"/>
      <c r="C56" s="1437" t="s">
        <v>428</v>
      </c>
      <c r="D56" s="1438"/>
      <c r="E56" s="259"/>
      <c r="F56" s="477"/>
      <c r="G56" s="477"/>
      <c r="H56" s="477"/>
      <c r="I56" s="19"/>
      <c r="J56" s="477"/>
      <c r="K56" s="477"/>
      <c r="L56" s="477"/>
      <c r="M56" s="19"/>
      <c r="N56" s="17"/>
      <c r="O56" s="18"/>
      <c r="P56" s="477"/>
      <c r="Q56" s="19"/>
      <c r="R56" s="17"/>
      <c r="S56" s="18"/>
      <c r="T56" s="477"/>
      <c r="U56" s="19"/>
      <c r="W56" s="18"/>
      <c r="X56" s="2"/>
      <c r="Y56" s="19"/>
      <c r="Z56" s="18"/>
      <c r="AB56" s="477"/>
      <c r="AC56" s="19"/>
      <c r="AD56" s="18"/>
      <c r="AE56" s="18"/>
      <c r="AF56" s="18"/>
      <c r="AG56" s="18"/>
      <c r="AH56" s="22"/>
      <c r="AI56" s="19"/>
      <c r="AJ56" s="19"/>
      <c r="AK56" s="19"/>
      <c r="AL56" s="24"/>
      <c r="AM56" s="725" t="s">
        <v>406</v>
      </c>
      <c r="AN56" s="711"/>
      <c r="AO56" s="711" t="s">
        <v>386</v>
      </c>
      <c r="AP56" s="712"/>
      <c r="AQ56" s="15"/>
      <c r="AR56" s="669"/>
      <c r="AS56" s="669"/>
      <c r="AT56" s="669"/>
      <c r="AU56" s="88"/>
      <c r="AV56" s="88"/>
      <c r="AW56" s="196"/>
      <c r="AX56" s="194"/>
      <c r="AY56" s="88"/>
      <c r="AZ56" s="88"/>
      <c r="BA56" s="669"/>
      <c r="BB56" s="25"/>
      <c r="BC56" s="3"/>
      <c r="BD56" s="3"/>
      <c r="BG56" s="3"/>
    </row>
    <row r="57" spans="1:59" ht="12.75" customHeight="1">
      <c r="A57" s="6" t="s">
        <v>107</v>
      </c>
      <c r="B57" s="7"/>
      <c r="C57" s="1439" t="s">
        <v>41</v>
      </c>
      <c r="D57" s="1440"/>
      <c r="E57" s="603"/>
      <c r="F57" s="21" t="s">
        <v>431</v>
      </c>
      <c r="G57" s="21" t="s">
        <v>430</v>
      </c>
      <c r="H57" s="21" t="s">
        <v>429</v>
      </c>
      <c r="I57" s="14" t="s">
        <v>427</v>
      </c>
      <c r="J57" s="21" t="s">
        <v>362</v>
      </c>
      <c r="K57" s="21" t="s">
        <v>363</v>
      </c>
      <c r="L57" s="21" t="s">
        <v>364</v>
      </c>
      <c r="M57" s="14" t="s">
        <v>365</v>
      </c>
      <c r="N57" s="20" t="s">
        <v>277</v>
      </c>
      <c r="O57" s="21" t="s">
        <v>278</v>
      </c>
      <c r="P57" s="21" t="s">
        <v>279</v>
      </c>
      <c r="Q57" s="14" t="s">
        <v>276</v>
      </c>
      <c r="R57" s="20" t="s">
        <v>222</v>
      </c>
      <c r="S57" s="21" t="s">
        <v>223</v>
      </c>
      <c r="T57" s="21" t="s">
        <v>224</v>
      </c>
      <c r="U57" s="14" t="s">
        <v>225</v>
      </c>
      <c r="V57" s="21" t="s">
        <v>141</v>
      </c>
      <c r="W57" s="21" t="s">
        <v>140</v>
      </c>
      <c r="X57" s="21" t="s">
        <v>139</v>
      </c>
      <c r="Y57" s="14" t="s">
        <v>138</v>
      </c>
      <c r="Z57" s="21" t="s">
        <v>91</v>
      </c>
      <c r="AA57" s="21" t="s">
        <v>92</v>
      </c>
      <c r="AB57" s="21" t="s">
        <v>93</v>
      </c>
      <c r="AC57" s="14" t="s">
        <v>32</v>
      </c>
      <c r="AD57" s="21" t="s">
        <v>33</v>
      </c>
      <c r="AE57" s="21" t="s">
        <v>34</v>
      </c>
      <c r="AF57" s="21" t="s">
        <v>35</v>
      </c>
      <c r="AG57" s="21" t="s">
        <v>36</v>
      </c>
      <c r="AH57" s="23" t="s">
        <v>37</v>
      </c>
      <c r="AI57" s="14" t="s">
        <v>38</v>
      </c>
      <c r="AJ57" s="14" t="s">
        <v>39</v>
      </c>
      <c r="AK57" s="14" t="s">
        <v>40</v>
      </c>
      <c r="AL57" s="259"/>
      <c r="AM57" s="21" t="s">
        <v>363</v>
      </c>
      <c r="AN57" s="21" t="s">
        <v>278</v>
      </c>
      <c r="AO57" s="1460" t="s">
        <v>41</v>
      </c>
      <c r="AP57" s="1440"/>
      <c r="AQ57" s="197"/>
      <c r="AR57" s="232" t="s">
        <v>367</v>
      </c>
      <c r="AS57" s="232" t="s">
        <v>285</v>
      </c>
      <c r="AT57" s="232" t="s">
        <v>143</v>
      </c>
      <c r="AU57" s="20" t="s">
        <v>142</v>
      </c>
      <c r="AV57" s="20" t="s">
        <v>45</v>
      </c>
      <c r="AW57" s="20" t="s">
        <v>42</v>
      </c>
      <c r="AX57" s="23" t="s">
        <v>43</v>
      </c>
      <c r="AY57" s="23" t="s">
        <v>165</v>
      </c>
      <c r="AZ57" s="23" t="s">
        <v>166</v>
      </c>
      <c r="BA57" s="20" t="s">
        <v>167</v>
      </c>
      <c r="BB57" s="25"/>
      <c r="BC57" s="3"/>
      <c r="BD57" s="3"/>
      <c r="BG57" s="3"/>
    </row>
    <row r="58" spans="1:59" ht="12.75" customHeight="1">
      <c r="A58" s="147"/>
      <c r="B58" s="148" t="s">
        <v>4</v>
      </c>
      <c r="C58" s="464" t="e">
        <f>I58-M58</f>
        <v>#REF!</v>
      </c>
      <c r="D58" s="30" t="e">
        <f>IF(OR((C58/M58)&gt;3,(C58/M58)&lt;-3),"n.m.",(C58/M58))</f>
        <v>#REF!</v>
      </c>
      <c r="E58" s="89"/>
      <c r="F58" s="380" t="e">
        <f aca="true" t="shared" si="35" ref="F58:M58">+F16</f>
        <v>#REF!</v>
      </c>
      <c r="G58" s="380" t="e">
        <f t="shared" si="35"/>
        <v>#REF!</v>
      </c>
      <c r="H58" s="380" t="e">
        <f t="shared" si="35"/>
        <v>#REF!</v>
      </c>
      <c r="I58" s="424" t="e">
        <f t="shared" si="35"/>
        <v>#REF!</v>
      </c>
      <c r="J58" s="380" t="e">
        <f t="shared" si="35"/>
        <v>#REF!</v>
      </c>
      <c r="K58" s="380" t="e">
        <f t="shared" si="35"/>
        <v>#REF!</v>
      </c>
      <c r="L58" s="380" t="e">
        <f t="shared" si="35"/>
        <v>#REF!</v>
      </c>
      <c r="M58" s="424" t="e">
        <f t="shared" si="35"/>
        <v>#REF!</v>
      </c>
      <c r="N58" s="380" t="e">
        <f>N16</f>
        <v>#REF!</v>
      </c>
      <c r="O58" s="380">
        <f>O16</f>
        <v>12748</v>
      </c>
      <c r="P58" s="380">
        <f>P16</f>
        <v>9338</v>
      </c>
      <c r="Q58" s="424">
        <f>Q16</f>
        <v>9246</v>
      </c>
      <c r="R58" s="380">
        <f aca="true" t="shared" si="36" ref="R58:AX58">R16</f>
        <v>34555</v>
      </c>
      <c r="S58" s="380">
        <f t="shared" si="36"/>
        <v>23339</v>
      </c>
      <c r="T58" s="380">
        <f t="shared" si="36"/>
        <v>18338</v>
      </c>
      <c r="U58" s="424">
        <f t="shared" si="36"/>
        <v>16445</v>
      </c>
      <c r="V58" s="380">
        <f t="shared" si="36"/>
        <v>21333</v>
      </c>
      <c r="W58" s="380">
        <f t="shared" si="36"/>
        <v>26421</v>
      </c>
      <c r="X58" s="380">
        <f t="shared" si="36"/>
        <v>13775</v>
      </c>
      <c r="Y58" s="424">
        <f t="shared" si="36"/>
        <v>20925</v>
      </c>
      <c r="Z58" s="390">
        <f t="shared" si="36"/>
        <v>0</v>
      </c>
      <c r="AA58" s="380">
        <f t="shared" si="36"/>
        <v>0</v>
      </c>
      <c r="AB58" s="380">
        <f t="shared" si="36"/>
        <v>0</v>
      </c>
      <c r="AC58" s="424">
        <f t="shared" si="36"/>
        <v>0</v>
      </c>
      <c r="AD58" s="235">
        <f t="shared" si="36"/>
        <v>0</v>
      </c>
      <c r="AE58" s="235">
        <f t="shared" si="36"/>
        <v>0</v>
      </c>
      <c r="AF58" s="235">
        <f t="shared" si="36"/>
        <v>0</v>
      </c>
      <c r="AG58" s="236">
        <f t="shared" si="36"/>
        <v>0</v>
      </c>
      <c r="AH58" s="257">
        <f t="shared" si="36"/>
        <v>0</v>
      </c>
      <c r="AI58" s="236">
        <f t="shared" si="36"/>
        <v>0</v>
      </c>
      <c r="AJ58" s="236">
        <f t="shared" si="36"/>
        <v>0</v>
      </c>
      <c r="AK58" s="236">
        <f t="shared" si="36"/>
        <v>0</v>
      </c>
      <c r="AL58" s="89"/>
      <c r="AM58" s="242" t="e">
        <f>SUM(K58:M58)</f>
        <v>#REF!</v>
      </c>
      <c r="AN58" s="736">
        <f>SUM(O58:Q58)</f>
        <v>31332</v>
      </c>
      <c r="AO58" s="254" t="e">
        <f>AR58-AS58</f>
        <v>#REF!</v>
      </c>
      <c r="AP58" s="30" t="e">
        <f>IF(OR((AO58/AS58)&gt;3,(AO58/AS58)&lt;-3),"n.m.",(AO58/AS58))</f>
        <v>#REF!</v>
      </c>
      <c r="AQ58" s="83"/>
      <c r="AR58" s="643" t="e">
        <f>SUM(J58:M58)</f>
        <v>#REF!</v>
      </c>
      <c r="AS58" s="643" t="e">
        <f>SUM(N58:Q58)</f>
        <v>#REF!</v>
      </c>
      <c r="AT58" s="643">
        <f t="shared" si="36"/>
        <v>92677</v>
      </c>
      <c r="AU58" s="179">
        <f t="shared" si="36"/>
        <v>82454</v>
      </c>
      <c r="AV58" s="179">
        <f t="shared" si="36"/>
        <v>72926</v>
      </c>
      <c r="AW58" s="201">
        <f t="shared" si="36"/>
        <v>118332</v>
      </c>
      <c r="AX58" s="201">
        <f t="shared" si="36"/>
        <v>129852</v>
      </c>
      <c r="AY58" s="368">
        <f>AY16</f>
        <v>125900</v>
      </c>
      <c r="AZ58" s="368">
        <f>AZ16</f>
        <v>116090</v>
      </c>
      <c r="BA58" s="464">
        <f>BA16</f>
        <v>84489</v>
      </c>
      <c r="BB58" s="25"/>
      <c r="BC58" s="3"/>
      <c r="BD58" s="3"/>
      <c r="BG58" s="3"/>
    </row>
    <row r="59" spans="1:59" ht="12.75" customHeight="1">
      <c r="A59" s="83"/>
      <c r="B59" s="148" t="s">
        <v>90</v>
      </c>
      <c r="C59" s="84">
        <f>I59-M59</f>
        <v>-96</v>
      </c>
      <c r="D59" s="554">
        <f>IF(OR((C59/M59)&gt;3,(C59/M59)&lt;-3),"n.m.",(C59/M59))</f>
        <v>-0.0017194748437248124</v>
      </c>
      <c r="E59" s="606"/>
      <c r="F59" s="466">
        <f>+F35-F32-F33</f>
        <v>0</v>
      </c>
      <c r="G59" s="466">
        <f>+G35-G32-G33</f>
        <v>0</v>
      </c>
      <c r="H59" s="466">
        <f>+H35-H32-H33</f>
        <v>0</v>
      </c>
      <c r="I59" s="424">
        <f>+I35-I32-I33-1889</f>
        <v>55735</v>
      </c>
      <c r="J59" s="466">
        <f>+J35-J32-J33-2639</f>
        <v>62820</v>
      </c>
      <c r="K59" s="466">
        <f>+K35-K32-K33-2709</f>
        <v>63839</v>
      </c>
      <c r="L59" s="466">
        <f>+L35-L33-2660</f>
        <v>55218</v>
      </c>
      <c r="M59" s="424">
        <f>+M35-1705-998</f>
        <v>55831</v>
      </c>
      <c r="N59" s="466">
        <f>N35-N32-N33</f>
        <v>25244</v>
      </c>
      <c r="O59" s="466">
        <f>O35-O32</f>
        <v>13341</v>
      </c>
      <c r="P59" s="466">
        <f>P35</f>
        <v>13294</v>
      </c>
      <c r="Q59" s="424">
        <f>Q35</f>
        <v>14080</v>
      </c>
      <c r="R59" s="466">
        <f aca="true" t="shared" si="37" ref="R59:BB59">R35</f>
        <v>25215</v>
      </c>
      <c r="S59" s="466">
        <f t="shared" si="37"/>
        <v>20384</v>
      </c>
      <c r="T59" s="466">
        <f t="shared" si="37"/>
        <v>16895</v>
      </c>
      <c r="U59" s="424">
        <f t="shared" si="37"/>
        <v>16054</v>
      </c>
      <c r="V59" s="466">
        <f t="shared" si="37"/>
        <v>19201</v>
      </c>
      <c r="W59" s="466">
        <f t="shared" si="37"/>
        <v>21966</v>
      </c>
      <c r="X59" s="466">
        <f t="shared" si="37"/>
        <v>14464</v>
      </c>
      <c r="Y59" s="424">
        <f t="shared" si="37"/>
        <v>17290</v>
      </c>
      <c r="Z59" s="466">
        <f t="shared" si="37"/>
        <v>0</v>
      </c>
      <c r="AA59" s="466">
        <f t="shared" si="37"/>
        <v>0</v>
      </c>
      <c r="AB59" s="466">
        <f t="shared" si="37"/>
        <v>0</v>
      </c>
      <c r="AC59" s="424">
        <f t="shared" si="37"/>
        <v>0</v>
      </c>
      <c r="AD59" s="234">
        <f t="shared" si="37"/>
        <v>0</v>
      </c>
      <c r="AE59" s="234">
        <f t="shared" si="37"/>
        <v>0</v>
      </c>
      <c r="AF59" s="234">
        <f t="shared" si="37"/>
        <v>0</v>
      </c>
      <c r="AG59" s="238">
        <f t="shared" si="37"/>
        <v>0</v>
      </c>
      <c r="AH59" s="201">
        <f t="shared" si="37"/>
        <v>0</v>
      </c>
      <c r="AI59" s="238">
        <f t="shared" si="37"/>
        <v>0</v>
      </c>
      <c r="AJ59" s="238">
        <f t="shared" si="37"/>
        <v>0</v>
      </c>
      <c r="AK59" s="238">
        <f t="shared" si="37"/>
        <v>0</v>
      </c>
      <c r="AL59" s="89"/>
      <c r="AM59" s="242">
        <f>SUM(K59:M59)</f>
        <v>174888</v>
      </c>
      <c r="AN59" s="254">
        <f>SUM(O59:Q59)</f>
        <v>40715</v>
      </c>
      <c r="AO59" s="254">
        <f>AR59-AS59</f>
        <v>171749</v>
      </c>
      <c r="AP59" s="30">
        <f>IF(OR((AO59/AS59)&gt;3,(AO59/AS59)&lt;-3),"n.m.",(AO59/AS59))</f>
        <v>2.603875134553283</v>
      </c>
      <c r="AQ59" s="83"/>
      <c r="AR59" s="635">
        <f>SUM(J59:M59)</f>
        <v>237708</v>
      </c>
      <c r="AS59" s="635">
        <f>SUM(N59:Q59)</f>
        <v>65959</v>
      </c>
      <c r="AT59" s="635">
        <f t="shared" si="37"/>
        <v>78548</v>
      </c>
      <c r="AU59" s="179">
        <f t="shared" si="37"/>
        <v>72921</v>
      </c>
      <c r="AV59" s="179">
        <f>AV35-AV33-AV32</f>
        <v>69621</v>
      </c>
      <c r="AW59" s="201">
        <f t="shared" si="37"/>
        <v>88719</v>
      </c>
      <c r="AX59" s="201">
        <f t="shared" si="37"/>
        <v>98148</v>
      </c>
      <c r="AY59" s="43">
        <f t="shared" si="37"/>
        <v>83963</v>
      </c>
      <c r="AZ59" s="43">
        <f t="shared" si="37"/>
        <v>85664</v>
      </c>
      <c r="BA59" s="43">
        <f t="shared" si="37"/>
        <v>68575</v>
      </c>
      <c r="BB59" s="3">
        <f t="shared" si="37"/>
        <v>0</v>
      </c>
      <c r="BC59" s="3"/>
      <c r="BD59" s="3"/>
      <c r="BG59" s="3"/>
    </row>
    <row r="60" spans="1:59" ht="12.75" customHeight="1">
      <c r="A60" s="83"/>
      <c r="B60" s="148" t="s">
        <v>82</v>
      </c>
      <c r="C60" s="154" t="e">
        <f>I60-M60</f>
        <v>#REF!</v>
      </c>
      <c r="D60" s="552" t="e">
        <f>IF(OR((C60/M60)&gt;3,(C60/M60)&lt;-3),"n.m.",(C60/M60))</f>
        <v>#REF!</v>
      </c>
      <c r="E60" s="606"/>
      <c r="F60" s="474" t="e">
        <f aca="true" t="shared" si="38" ref="F60:M60">+F58-F59</f>
        <v>#REF!</v>
      </c>
      <c r="G60" s="474" t="e">
        <f t="shared" si="38"/>
        <v>#REF!</v>
      </c>
      <c r="H60" s="474" t="e">
        <f t="shared" si="38"/>
        <v>#REF!</v>
      </c>
      <c r="I60" s="426" t="e">
        <f t="shared" si="38"/>
        <v>#REF!</v>
      </c>
      <c r="J60" s="474" t="e">
        <f t="shared" si="38"/>
        <v>#REF!</v>
      </c>
      <c r="K60" s="474" t="e">
        <f t="shared" si="38"/>
        <v>#REF!</v>
      </c>
      <c r="L60" s="474" t="e">
        <f t="shared" si="38"/>
        <v>#REF!</v>
      </c>
      <c r="M60" s="426" t="e">
        <f t="shared" si="38"/>
        <v>#REF!</v>
      </c>
      <c r="N60" s="474" t="e">
        <f>N58-N59</f>
        <v>#REF!</v>
      </c>
      <c r="O60" s="474">
        <f>O58-O59</f>
        <v>-593</v>
      </c>
      <c r="P60" s="474">
        <f>P58-P59</f>
        <v>-3956</v>
      </c>
      <c r="Q60" s="426">
        <f>Q58-Q59</f>
        <v>-4834</v>
      </c>
      <c r="R60" s="474">
        <f aca="true" t="shared" si="39" ref="R60:AX60">R58-R59</f>
        <v>9340</v>
      </c>
      <c r="S60" s="474">
        <f t="shared" si="39"/>
        <v>2955</v>
      </c>
      <c r="T60" s="474">
        <f t="shared" si="39"/>
        <v>1443</v>
      </c>
      <c r="U60" s="426">
        <f t="shared" si="39"/>
        <v>391</v>
      </c>
      <c r="V60" s="474">
        <f t="shared" si="39"/>
        <v>2132</v>
      </c>
      <c r="W60" s="474">
        <f t="shared" si="39"/>
        <v>4455</v>
      </c>
      <c r="X60" s="474">
        <f t="shared" si="39"/>
        <v>-689</v>
      </c>
      <c r="Y60" s="426">
        <f t="shared" si="39"/>
        <v>3635</v>
      </c>
      <c r="Z60" s="474">
        <f t="shared" si="39"/>
        <v>0</v>
      </c>
      <c r="AA60" s="474">
        <f t="shared" si="39"/>
        <v>0</v>
      </c>
      <c r="AB60" s="474">
        <f t="shared" si="39"/>
        <v>0</v>
      </c>
      <c r="AC60" s="426">
        <f t="shared" si="39"/>
        <v>0</v>
      </c>
      <c r="AD60" s="240">
        <f t="shared" si="39"/>
        <v>0</v>
      </c>
      <c r="AE60" s="240">
        <f t="shared" si="39"/>
        <v>0</v>
      </c>
      <c r="AF60" s="240">
        <f t="shared" si="39"/>
        <v>0</v>
      </c>
      <c r="AG60" s="241">
        <f t="shared" si="39"/>
        <v>0</v>
      </c>
      <c r="AH60" s="207">
        <f t="shared" si="39"/>
        <v>0</v>
      </c>
      <c r="AI60" s="241">
        <f t="shared" si="39"/>
        <v>0</v>
      </c>
      <c r="AJ60" s="241">
        <f t="shared" si="39"/>
        <v>0</v>
      </c>
      <c r="AK60" s="241">
        <f t="shared" si="39"/>
        <v>0</v>
      </c>
      <c r="AL60" s="89"/>
      <c r="AM60" s="250" t="e">
        <f>AM58-AM59</f>
        <v>#REF!</v>
      </c>
      <c r="AN60" s="385">
        <f>AN58-AN59</f>
        <v>-9383</v>
      </c>
      <c r="AO60" s="385" t="e">
        <f>AR60-AS60</f>
        <v>#REF!</v>
      </c>
      <c r="AP60" s="149" t="e">
        <f>-IF(OR((AO60/AS60)&gt;3,(AO60/AS60)&lt;-3),"n.m.",(AO60/AS60))</f>
        <v>#REF!</v>
      </c>
      <c r="AQ60" s="83"/>
      <c r="AR60" s="636" t="e">
        <f>SUM(J60:M60)</f>
        <v>#REF!</v>
      </c>
      <c r="AS60" s="636" t="e">
        <f>AS58-AS59</f>
        <v>#REF!</v>
      </c>
      <c r="AT60" s="636">
        <f t="shared" si="39"/>
        <v>14129</v>
      </c>
      <c r="AU60" s="198">
        <f t="shared" si="39"/>
        <v>9533</v>
      </c>
      <c r="AV60" s="198">
        <f t="shared" si="39"/>
        <v>3305</v>
      </c>
      <c r="AW60" s="207">
        <f t="shared" si="39"/>
        <v>29613</v>
      </c>
      <c r="AX60" s="207">
        <f t="shared" si="39"/>
        <v>31704</v>
      </c>
      <c r="AY60" s="160">
        <f>AY58-AY59</f>
        <v>41937</v>
      </c>
      <c r="AZ60" s="160">
        <f>AZ58-AZ59</f>
        <v>30426</v>
      </c>
      <c r="BA60" s="160">
        <f>BA58-BA59</f>
        <v>15914</v>
      </c>
      <c r="BB60" s="3"/>
      <c r="BC60" s="3"/>
      <c r="BD60" s="3"/>
      <c r="BG60" s="3"/>
    </row>
    <row r="61" spans="1:59" ht="12.75" customHeight="1">
      <c r="A61" s="83"/>
      <c r="B61" s="148"/>
      <c r="C61" s="153"/>
      <c r="D61" s="11"/>
      <c r="E61" s="11"/>
      <c r="F61" s="466"/>
      <c r="G61" s="466"/>
      <c r="H61" s="466"/>
      <c r="I61" s="380"/>
      <c r="J61" s="466"/>
      <c r="K61" s="466"/>
      <c r="L61" s="466"/>
      <c r="M61" s="380"/>
      <c r="N61" s="466"/>
      <c r="O61" s="466"/>
      <c r="P61" s="466"/>
      <c r="Q61" s="380"/>
      <c r="R61" s="466"/>
      <c r="S61" s="466"/>
      <c r="T61" s="466"/>
      <c r="U61" s="380"/>
      <c r="V61" s="466"/>
      <c r="W61" s="466"/>
      <c r="X61" s="466"/>
      <c r="Y61" s="380"/>
      <c r="Z61" s="466"/>
      <c r="AA61" s="466"/>
      <c r="AB61" s="466"/>
      <c r="AC61" s="380"/>
      <c r="AD61" s="234"/>
      <c r="AE61" s="234"/>
      <c r="AF61" s="234"/>
      <c r="AG61" s="234"/>
      <c r="AH61" s="234"/>
      <c r="AI61" s="234"/>
      <c r="AJ61" s="234"/>
      <c r="AK61" s="234"/>
      <c r="AL61" s="148"/>
      <c r="AM61" s="148"/>
      <c r="AN61" s="148"/>
      <c r="AO61" s="651"/>
      <c r="AP61" s="634"/>
      <c r="AQ61" s="83"/>
      <c r="AR61" s="631"/>
      <c r="AS61" s="631"/>
      <c r="AT61" s="631"/>
      <c r="AU61" s="380"/>
      <c r="AV61" s="380"/>
      <c r="AW61" s="234"/>
      <c r="AX61" s="234"/>
      <c r="AY61" s="31"/>
      <c r="AZ61" s="31"/>
      <c r="BA61" s="31"/>
      <c r="BB61" s="3"/>
      <c r="BC61" s="3"/>
      <c r="BD61" s="3"/>
      <c r="BG61" s="3"/>
    </row>
    <row r="62" spans="1:59" ht="12.75" customHeight="1">
      <c r="A62" s="12" t="s">
        <v>227</v>
      </c>
      <c r="B62" s="145"/>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468"/>
      <c r="AA62" s="148"/>
      <c r="AB62" s="148"/>
      <c r="AC62" s="148"/>
      <c r="AD62" s="148"/>
      <c r="AE62" s="148"/>
      <c r="AF62" s="148"/>
      <c r="AG62" s="7"/>
      <c r="AH62" s="148"/>
      <c r="AI62" s="7"/>
      <c r="AJ62" s="7"/>
      <c r="AK62" s="148"/>
      <c r="AL62" s="148"/>
      <c r="AM62" s="148"/>
      <c r="AN62" s="148"/>
      <c r="AO62" s="633"/>
      <c r="AP62" s="633"/>
      <c r="AQ62" s="148"/>
      <c r="AR62" s="633"/>
      <c r="AS62" s="633"/>
      <c r="AT62" s="633"/>
      <c r="AU62" s="148"/>
      <c r="AV62" s="148"/>
      <c r="AW62" s="148"/>
      <c r="AX62" s="148"/>
      <c r="AY62" s="31"/>
      <c r="AZ62" s="31"/>
      <c r="BA62" s="31"/>
      <c r="BB62" s="3"/>
      <c r="BC62" s="3"/>
      <c r="BD62" s="3"/>
      <c r="BG62" s="3"/>
    </row>
    <row r="63" spans="3:59" ht="12.75" customHeight="1">
      <c r="C63" s="1437" t="s">
        <v>428</v>
      </c>
      <c r="D63" s="1438"/>
      <c r="E63" s="259"/>
      <c r="F63" s="477"/>
      <c r="G63" s="477"/>
      <c r="H63" s="477"/>
      <c r="I63" s="19"/>
      <c r="J63" s="477"/>
      <c r="K63" s="477"/>
      <c r="L63" s="477"/>
      <c r="M63" s="19"/>
      <c r="N63" s="17"/>
      <c r="O63" s="18"/>
      <c r="P63" s="477"/>
      <c r="Q63" s="19"/>
      <c r="R63" s="17"/>
      <c r="S63" s="18"/>
      <c r="T63" s="477"/>
      <c r="U63" s="19"/>
      <c r="W63" s="18"/>
      <c r="X63" s="2"/>
      <c r="Y63" s="19"/>
      <c r="Z63" s="18"/>
      <c r="AB63" s="477"/>
      <c r="AC63" s="19"/>
      <c r="AD63" s="18"/>
      <c r="AE63" s="18"/>
      <c r="AF63" s="18"/>
      <c r="AG63" s="18"/>
      <c r="AH63" s="22"/>
      <c r="AI63" s="19"/>
      <c r="AJ63" s="19"/>
      <c r="AK63" s="19"/>
      <c r="AL63" s="24"/>
      <c r="AM63" s="725" t="s">
        <v>406</v>
      </c>
      <c r="AN63" s="711"/>
      <c r="AO63" s="711" t="s">
        <v>386</v>
      </c>
      <c r="AP63" s="712"/>
      <c r="AQ63" s="148"/>
      <c r="AR63" s="669"/>
      <c r="AS63" s="669"/>
      <c r="AT63" s="669"/>
      <c r="AU63" s="88"/>
      <c r="AV63" s="88"/>
      <c r="AW63" s="196"/>
      <c r="AX63" s="194"/>
      <c r="AY63" s="88"/>
      <c r="AZ63" s="31"/>
      <c r="BA63" s="31"/>
      <c r="BB63" s="25"/>
      <c r="BC63" s="3"/>
      <c r="BD63" s="3"/>
      <c r="BG63" s="3"/>
    </row>
    <row r="64" spans="3:59" ht="12.75" customHeight="1">
      <c r="C64" s="1439" t="s">
        <v>41</v>
      </c>
      <c r="D64" s="1440"/>
      <c r="E64" s="603"/>
      <c r="F64" s="21" t="s">
        <v>431</v>
      </c>
      <c r="G64" s="21" t="s">
        <v>430</v>
      </c>
      <c r="H64" s="21" t="s">
        <v>429</v>
      </c>
      <c r="I64" s="14" t="s">
        <v>427</v>
      </c>
      <c r="J64" s="21" t="s">
        <v>362</v>
      </c>
      <c r="K64" s="21" t="s">
        <v>363</v>
      </c>
      <c r="L64" s="21" t="s">
        <v>364</v>
      </c>
      <c r="M64" s="14" t="s">
        <v>365</v>
      </c>
      <c r="N64" s="20" t="s">
        <v>277</v>
      </c>
      <c r="O64" s="21" t="s">
        <v>278</v>
      </c>
      <c r="P64" s="21" t="s">
        <v>279</v>
      </c>
      <c r="Q64" s="14" t="s">
        <v>276</v>
      </c>
      <c r="R64" s="20" t="s">
        <v>222</v>
      </c>
      <c r="S64" s="21" t="s">
        <v>223</v>
      </c>
      <c r="T64" s="21" t="s">
        <v>224</v>
      </c>
      <c r="U64" s="14" t="s">
        <v>225</v>
      </c>
      <c r="V64" s="21" t="s">
        <v>141</v>
      </c>
      <c r="W64" s="21" t="s">
        <v>140</v>
      </c>
      <c r="X64" s="21" t="s">
        <v>139</v>
      </c>
      <c r="Y64" s="14" t="s">
        <v>138</v>
      </c>
      <c r="Z64" s="21" t="s">
        <v>91</v>
      </c>
      <c r="AA64" s="21" t="s">
        <v>92</v>
      </c>
      <c r="AB64" s="21" t="s">
        <v>93</v>
      </c>
      <c r="AC64" s="14" t="s">
        <v>32</v>
      </c>
      <c r="AD64" s="21" t="s">
        <v>33</v>
      </c>
      <c r="AE64" s="21" t="s">
        <v>34</v>
      </c>
      <c r="AF64" s="21" t="s">
        <v>35</v>
      </c>
      <c r="AG64" s="21" t="s">
        <v>36</v>
      </c>
      <c r="AH64" s="23" t="s">
        <v>37</v>
      </c>
      <c r="AI64" s="14" t="s">
        <v>38</v>
      </c>
      <c r="AJ64" s="14" t="s">
        <v>39</v>
      </c>
      <c r="AK64" s="14" t="s">
        <v>40</v>
      </c>
      <c r="AL64" s="259"/>
      <c r="AM64" s="21" t="s">
        <v>363</v>
      </c>
      <c r="AN64" s="21" t="s">
        <v>278</v>
      </c>
      <c r="AO64" s="1460" t="s">
        <v>41</v>
      </c>
      <c r="AP64" s="1440"/>
      <c r="AQ64" s="148"/>
      <c r="AR64" s="232" t="s">
        <v>367</v>
      </c>
      <c r="AS64" s="232" t="s">
        <v>285</v>
      </c>
      <c r="AT64" s="232" t="s">
        <v>143</v>
      </c>
      <c r="AU64" s="20" t="s">
        <v>142</v>
      </c>
      <c r="AV64" s="20" t="s">
        <v>45</v>
      </c>
      <c r="AW64" s="20" t="s">
        <v>42</v>
      </c>
      <c r="AX64" s="23" t="s">
        <v>43</v>
      </c>
      <c r="AY64" s="23" t="s">
        <v>165</v>
      </c>
      <c r="AZ64" s="31"/>
      <c r="BA64" s="31"/>
      <c r="BB64" s="25"/>
      <c r="BC64" s="3"/>
      <c r="BD64" s="3"/>
      <c r="BG64" s="3"/>
    </row>
    <row r="65" spans="1:59" ht="12.75" customHeight="1">
      <c r="A65" s="83"/>
      <c r="B65" s="7" t="s">
        <v>407</v>
      </c>
      <c r="C65" s="84">
        <f aca="true" t="shared" si="40" ref="C65:C71">I65-M65</f>
        <v>5859</v>
      </c>
      <c r="D65" s="554">
        <f aca="true" t="shared" si="41" ref="D65:D71">IF(OR((C65/M65)&gt;3,(C65/M65)&lt;-3),"n.m.",(C65/M65))</f>
        <v>0.20384802727715537</v>
      </c>
      <c r="E65" s="89"/>
      <c r="F65" s="254"/>
      <c r="G65" s="254"/>
      <c r="H65" s="254"/>
      <c r="I65" s="353">
        <v>34601</v>
      </c>
      <c r="J65" s="254">
        <f>38419-2686</f>
        <v>35733</v>
      </c>
      <c r="K65" s="254">
        <f>30571+2009</f>
        <v>32580</v>
      </c>
      <c r="L65" s="254">
        <f>27830+380</f>
        <v>28210</v>
      </c>
      <c r="M65" s="353">
        <f>28445+297</f>
        <v>28742</v>
      </c>
      <c r="N65" s="254">
        <v>5969</v>
      </c>
      <c r="O65" s="254">
        <v>2712</v>
      </c>
      <c r="P65" s="254">
        <v>3187</v>
      </c>
      <c r="Q65" s="353">
        <v>3355</v>
      </c>
      <c r="R65" s="254">
        <v>4877</v>
      </c>
      <c r="S65" s="254">
        <v>4800</v>
      </c>
      <c r="T65" s="254">
        <v>4288</v>
      </c>
      <c r="U65" s="353">
        <v>3624</v>
      </c>
      <c r="V65" s="254">
        <v>2939</v>
      </c>
      <c r="W65" s="254">
        <v>3598</v>
      </c>
      <c r="X65" s="254">
        <v>2710</v>
      </c>
      <c r="Y65" s="353">
        <v>2214</v>
      </c>
      <c r="Z65" s="254"/>
      <c r="AA65" s="254"/>
      <c r="AB65" s="353"/>
      <c r="AC65" s="353"/>
      <c r="AD65" s="424"/>
      <c r="AE65" s="148"/>
      <c r="AF65" s="148"/>
      <c r="AG65" s="7"/>
      <c r="AH65" s="148"/>
      <c r="AI65" s="7"/>
      <c r="AJ65" s="7"/>
      <c r="AK65" s="148"/>
      <c r="AL65" s="89"/>
      <c r="AM65" s="242">
        <f aca="true" t="shared" si="42" ref="AM65:AM70">SUM(K65:M65)</f>
        <v>89532</v>
      </c>
      <c r="AN65" s="254">
        <f aca="true" t="shared" si="43" ref="AN65:AN70">SUM(O65:Q65)</f>
        <v>9254</v>
      </c>
      <c r="AO65" s="254">
        <f aca="true" t="shared" si="44" ref="AO65:AO71">AR65-AS65</f>
        <v>110042</v>
      </c>
      <c r="AP65" s="30" t="str">
        <f aca="true" t="shared" si="45" ref="AP65:AP71">IF(OR((AO65/AS65)&gt;3,(AO65/AS65)&lt;-3),"n.m.",(AO65/AS65))</f>
        <v>n.m.</v>
      </c>
      <c r="AQ65" s="148"/>
      <c r="AR65" s="643">
        <f aca="true" t="shared" si="46" ref="AR65:AR70">SUM(J65:M65)</f>
        <v>125265</v>
      </c>
      <c r="AS65" s="643">
        <f aca="true" t="shared" si="47" ref="AS65:AS70">SUM(N65:Q65)</f>
        <v>15223</v>
      </c>
      <c r="AT65" s="638">
        <f aca="true" t="shared" si="48" ref="AT65:AT70">SUM(R65:U65)</f>
        <v>17589</v>
      </c>
      <c r="AU65" s="43">
        <f aca="true" t="shared" si="49" ref="AU65:AU70">SUM(V65:Y65)</f>
        <v>11461</v>
      </c>
      <c r="AV65" s="43">
        <v>10891</v>
      </c>
      <c r="AW65" s="43">
        <v>14557</v>
      </c>
      <c r="AX65" s="43">
        <v>11991</v>
      </c>
      <c r="AY65" s="43">
        <v>14929</v>
      </c>
      <c r="AZ65" s="31"/>
      <c r="BA65" s="31"/>
      <c r="BB65" s="25"/>
      <c r="BC65" s="3"/>
      <c r="BD65" s="3"/>
      <c r="BG65" s="3"/>
    </row>
    <row r="66" spans="1:59" ht="12.75" customHeight="1">
      <c r="A66" s="83"/>
      <c r="B66" s="7" t="s">
        <v>70</v>
      </c>
      <c r="C66" s="84">
        <f t="shared" si="40"/>
        <v>1687</v>
      </c>
      <c r="D66" s="554">
        <f t="shared" si="41"/>
        <v>0.5678222820599125</v>
      </c>
      <c r="E66" s="89"/>
      <c r="F66" s="254"/>
      <c r="G66" s="254"/>
      <c r="H66" s="254"/>
      <c r="I66" s="353">
        <v>4658</v>
      </c>
      <c r="J66" s="254">
        <f>7552-268</f>
        <v>7284</v>
      </c>
      <c r="K66" s="254">
        <f>12466+150</f>
        <v>12616</v>
      </c>
      <c r="L66" s="254">
        <f>10921+86</f>
        <v>11007</v>
      </c>
      <c r="M66" s="353">
        <f>2939+32</f>
        <v>2971</v>
      </c>
      <c r="N66" s="254">
        <v>6836</v>
      </c>
      <c r="O66" s="254">
        <v>3072</v>
      </c>
      <c r="P66" s="254">
        <v>750</v>
      </c>
      <c r="Q66" s="353">
        <v>2299</v>
      </c>
      <c r="R66" s="254">
        <v>16817</v>
      </c>
      <c r="S66" s="254">
        <v>9429</v>
      </c>
      <c r="T66" s="254">
        <v>3477</v>
      </c>
      <c r="U66" s="353">
        <v>4849</v>
      </c>
      <c r="V66" s="254">
        <f>14020-V67</f>
        <v>11927</v>
      </c>
      <c r="W66" s="254">
        <f>16392-W67</f>
        <v>13190</v>
      </c>
      <c r="X66" s="254">
        <f>3925-X67</f>
        <v>1650</v>
      </c>
      <c r="Y66" s="353">
        <f>13214-Y67</f>
        <v>9027</v>
      </c>
      <c r="Z66" s="254"/>
      <c r="AA66" s="254"/>
      <c r="AB66" s="353"/>
      <c r="AC66" s="353"/>
      <c r="AD66" s="424"/>
      <c r="AE66" s="148"/>
      <c r="AF66" s="148"/>
      <c r="AG66" s="7"/>
      <c r="AH66" s="148"/>
      <c r="AI66" s="7"/>
      <c r="AJ66" s="7"/>
      <c r="AK66" s="148"/>
      <c r="AL66" s="89"/>
      <c r="AM66" s="242">
        <f t="shared" si="42"/>
        <v>26594</v>
      </c>
      <c r="AN66" s="254">
        <f t="shared" si="43"/>
        <v>6121</v>
      </c>
      <c r="AO66" s="254">
        <f t="shared" si="44"/>
        <v>20921</v>
      </c>
      <c r="AP66" s="30">
        <f t="shared" si="45"/>
        <v>1.6146484525738982</v>
      </c>
      <c r="AQ66" s="148"/>
      <c r="AR66" s="635">
        <f t="shared" si="46"/>
        <v>33878</v>
      </c>
      <c r="AS66" s="635">
        <f t="shared" si="47"/>
        <v>12957</v>
      </c>
      <c r="AT66" s="639">
        <f t="shared" si="48"/>
        <v>34572</v>
      </c>
      <c r="AU66" s="43">
        <f t="shared" si="49"/>
        <v>35794</v>
      </c>
      <c r="AV66" s="43">
        <f>48109-AV67</f>
        <v>26736</v>
      </c>
      <c r="AW66" s="43">
        <f>92703-AW67</f>
        <v>80789</v>
      </c>
      <c r="AX66" s="43">
        <f>104869-AX67</f>
        <v>99288</v>
      </c>
      <c r="AY66" s="43">
        <f>91128-3937</f>
        <v>87191</v>
      </c>
      <c r="AZ66" s="31"/>
      <c r="BA66" s="31"/>
      <c r="BB66" s="25"/>
      <c r="BC66" s="3"/>
      <c r="BD66" s="3"/>
      <c r="BG66" s="3"/>
    </row>
    <row r="67" spans="1:59" ht="12.75" customHeight="1">
      <c r="A67" s="83"/>
      <c r="B67" s="7" t="s">
        <v>255</v>
      </c>
      <c r="C67" s="84">
        <f t="shared" si="40"/>
        <v>7037</v>
      </c>
      <c r="D67" s="554">
        <f t="shared" si="41"/>
        <v>0.4814586754241927</v>
      </c>
      <c r="E67" s="89"/>
      <c r="F67" s="254"/>
      <c r="G67" s="254"/>
      <c r="H67" s="254"/>
      <c r="I67" s="353">
        <v>21653</v>
      </c>
      <c r="J67" s="254">
        <v>19658</v>
      </c>
      <c r="K67" s="254">
        <v>16995</v>
      </c>
      <c r="L67" s="254">
        <v>13802</v>
      </c>
      <c r="M67" s="353">
        <v>14616</v>
      </c>
      <c r="N67" s="254">
        <v>5533</v>
      </c>
      <c r="O67" s="254">
        <v>4356</v>
      </c>
      <c r="P67" s="254">
        <v>3235</v>
      </c>
      <c r="Q67" s="353">
        <v>1470</v>
      </c>
      <c r="R67" s="254">
        <v>2671</v>
      </c>
      <c r="S67" s="254">
        <v>2437</v>
      </c>
      <c r="T67" s="254">
        <v>4055</v>
      </c>
      <c r="U67" s="353">
        <v>3085</v>
      </c>
      <c r="V67" s="254">
        <v>2093</v>
      </c>
      <c r="W67" s="254">
        <v>3202</v>
      </c>
      <c r="X67" s="254">
        <v>2275</v>
      </c>
      <c r="Y67" s="353">
        <v>4187</v>
      </c>
      <c r="Z67" s="254"/>
      <c r="AA67" s="254"/>
      <c r="AB67" s="353"/>
      <c r="AC67" s="353"/>
      <c r="AD67" s="424"/>
      <c r="AE67" s="148"/>
      <c r="AF67" s="148"/>
      <c r="AG67" s="7"/>
      <c r="AH67" s="148"/>
      <c r="AI67" s="7"/>
      <c r="AJ67" s="7"/>
      <c r="AK67" s="148"/>
      <c r="AL67" s="89"/>
      <c r="AM67" s="242">
        <f t="shared" si="42"/>
        <v>45413</v>
      </c>
      <c r="AN67" s="254">
        <f t="shared" si="43"/>
        <v>9061</v>
      </c>
      <c r="AO67" s="254">
        <f t="shared" si="44"/>
        <v>50477</v>
      </c>
      <c r="AP67" s="30" t="str">
        <f t="shared" si="45"/>
        <v>n.m.</v>
      </c>
      <c r="AQ67" s="148"/>
      <c r="AR67" s="635">
        <f t="shared" si="46"/>
        <v>65071</v>
      </c>
      <c r="AS67" s="635">
        <f t="shared" si="47"/>
        <v>14594</v>
      </c>
      <c r="AT67" s="639">
        <f t="shared" si="48"/>
        <v>12248</v>
      </c>
      <c r="AU67" s="43">
        <f t="shared" si="49"/>
        <v>11757</v>
      </c>
      <c r="AV67" s="43">
        <v>21373</v>
      </c>
      <c r="AW67" s="43">
        <v>11914</v>
      </c>
      <c r="AX67" s="43">
        <v>5581</v>
      </c>
      <c r="AY67" s="43">
        <v>3937</v>
      </c>
      <c r="AZ67" s="31"/>
      <c r="BA67" s="31"/>
      <c r="BB67" s="25"/>
      <c r="BC67" s="3"/>
      <c r="BD67" s="3"/>
      <c r="BG67" s="3"/>
    </row>
    <row r="68" spans="1:59" ht="12.75" customHeight="1">
      <c r="A68" s="83"/>
      <c r="B68" s="7" t="s">
        <v>71</v>
      </c>
      <c r="C68" s="84">
        <f t="shared" si="40"/>
        <v>2895</v>
      </c>
      <c r="D68" s="554">
        <f t="shared" si="41"/>
        <v>1.18501841997544</v>
      </c>
      <c r="E68" s="89"/>
      <c r="F68" s="254"/>
      <c r="G68" s="254"/>
      <c r="H68" s="254"/>
      <c r="I68" s="353">
        <v>5338</v>
      </c>
      <c r="J68" s="254">
        <v>8936</v>
      </c>
      <c r="K68" s="254">
        <v>6665</v>
      </c>
      <c r="L68" s="254">
        <v>6462</v>
      </c>
      <c r="M68" s="353">
        <v>2443</v>
      </c>
      <c r="N68" s="254">
        <v>3447</v>
      </c>
      <c r="O68" s="254">
        <v>2591</v>
      </c>
      <c r="P68" s="254">
        <v>2232</v>
      </c>
      <c r="Q68" s="353">
        <v>2173</v>
      </c>
      <c r="R68" s="254">
        <v>10213</v>
      </c>
      <c r="S68" s="254">
        <v>6662</v>
      </c>
      <c r="T68" s="254">
        <v>6583</v>
      </c>
      <c r="U68" s="353">
        <v>4874</v>
      </c>
      <c r="V68" s="254">
        <v>4132</v>
      </c>
      <c r="W68" s="254">
        <v>6480</v>
      </c>
      <c r="X68" s="254">
        <v>7104</v>
      </c>
      <c r="Y68" s="353">
        <v>5474</v>
      </c>
      <c r="Z68" s="254"/>
      <c r="AA68" s="254"/>
      <c r="AB68" s="353"/>
      <c r="AC68" s="353"/>
      <c r="AD68" s="424"/>
      <c r="AE68" s="148"/>
      <c r="AF68" s="148"/>
      <c r="AG68" s="7"/>
      <c r="AH68" s="148"/>
      <c r="AI68" s="7"/>
      <c r="AJ68" s="7"/>
      <c r="AK68" s="148"/>
      <c r="AL68" s="89"/>
      <c r="AM68" s="242">
        <f t="shared" si="42"/>
        <v>15570</v>
      </c>
      <c r="AN68" s="254">
        <f t="shared" si="43"/>
        <v>6996</v>
      </c>
      <c r="AO68" s="254">
        <f t="shared" si="44"/>
        <v>14063</v>
      </c>
      <c r="AP68" s="30">
        <f t="shared" si="45"/>
        <v>1.3466436847649144</v>
      </c>
      <c r="AQ68" s="148"/>
      <c r="AR68" s="635">
        <f t="shared" si="46"/>
        <v>24506</v>
      </c>
      <c r="AS68" s="635">
        <f t="shared" si="47"/>
        <v>10443</v>
      </c>
      <c r="AT68" s="639">
        <f t="shared" si="48"/>
        <v>28332</v>
      </c>
      <c r="AU68" s="43">
        <f t="shared" si="49"/>
        <v>23190</v>
      </c>
      <c r="AV68" s="43">
        <v>9476</v>
      </c>
      <c r="AW68" s="43">
        <v>4419</v>
      </c>
      <c r="AX68" s="43">
        <v>9630</v>
      </c>
      <c r="AY68" s="43">
        <v>16467</v>
      </c>
      <c r="AZ68" s="31"/>
      <c r="BA68" s="31"/>
      <c r="BB68" s="25"/>
      <c r="BC68" s="3"/>
      <c r="BD68" s="3"/>
      <c r="BG68" s="3"/>
    </row>
    <row r="69" spans="1:59" ht="12.75" customHeight="1">
      <c r="A69" s="83"/>
      <c r="B69" s="7" t="s">
        <v>72</v>
      </c>
      <c r="C69" s="84">
        <f t="shared" si="40"/>
        <v>475</v>
      </c>
      <c r="D69" s="554">
        <f t="shared" si="41"/>
        <v>1.9076305220883534</v>
      </c>
      <c r="E69" s="89"/>
      <c r="F69" s="254"/>
      <c r="G69" s="254"/>
      <c r="H69" s="254"/>
      <c r="I69" s="353">
        <v>724</v>
      </c>
      <c r="J69" s="254">
        <v>781</v>
      </c>
      <c r="K69" s="254">
        <v>356</v>
      </c>
      <c r="L69" s="254">
        <f>557-322</f>
        <v>235</v>
      </c>
      <c r="M69" s="353">
        <v>249</v>
      </c>
      <c r="N69" s="254">
        <v>30</v>
      </c>
      <c r="O69" s="254">
        <v>0</v>
      </c>
      <c r="P69" s="254">
        <v>3</v>
      </c>
      <c r="Q69" s="353">
        <v>3</v>
      </c>
      <c r="R69" s="254">
        <v>15</v>
      </c>
      <c r="S69" s="254">
        <v>3</v>
      </c>
      <c r="T69" s="254">
        <v>4</v>
      </c>
      <c r="U69" s="353">
        <v>3</v>
      </c>
      <c r="V69" s="254">
        <v>21</v>
      </c>
      <c r="W69" s="254">
        <v>12</v>
      </c>
      <c r="X69" s="254">
        <v>17</v>
      </c>
      <c r="Y69" s="353">
        <v>44</v>
      </c>
      <c r="Z69" s="254"/>
      <c r="AA69" s="254"/>
      <c r="AB69" s="353"/>
      <c r="AC69" s="353"/>
      <c r="AD69" s="424"/>
      <c r="AE69" s="148"/>
      <c r="AF69" s="148"/>
      <c r="AG69" s="7"/>
      <c r="AH69" s="148"/>
      <c r="AI69" s="7"/>
      <c r="AJ69" s="7"/>
      <c r="AK69" s="148"/>
      <c r="AL69" s="89"/>
      <c r="AM69" s="242">
        <f t="shared" si="42"/>
        <v>840</v>
      </c>
      <c r="AN69" s="254">
        <f t="shared" si="43"/>
        <v>6</v>
      </c>
      <c r="AO69" s="254">
        <f t="shared" si="44"/>
        <v>1585</v>
      </c>
      <c r="AP69" s="30" t="str">
        <f t="shared" si="45"/>
        <v>n.m.</v>
      </c>
      <c r="AQ69" s="148"/>
      <c r="AR69" s="635">
        <f t="shared" si="46"/>
        <v>1621</v>
      </c>
      <c r="AS69" s="635">
        <f t="shared" si="47"/>
        <v>36</v>
      </c>
      <c r="AT69" s="639">
        <f t="shared" si="48"/>
        <v>25</v>
      </c>
      <c r="AU69" s="43">
        <f t="shared" si="49"/>
        <v>94</v>
      </c>
      <c r="AV69" s="43">
        <v>2226</v>
      </c>
      <c r="AW69" s="43">
        <v>3339</v>
      </c>
      <c r="AX69" s="43">
        <v>3835</v>
      </c>
      <c r="AY69" s="43">
        <v>2491</v>
      </c>
      <c r="AZ69" s="31"/>
      <c r="BA69" s="31"/>
      <c r="BB69" s="25"/>
      <c r="BC69" s="3"/>
      <c r="BD69" s="3"/>
      <c r="BG69" s="3"/>
    </row>
    <row r="70" spans="1:59" ht="12.75" customHeight="1">
      <c r="A70" s="193"/>
      <c r="B70" s="7" t="s">
        <v>73</v>
      </c>
      <c r="C70" s="84">
        <f t="shared" si="40"/>
        <v>707</v>
      </c>
      <c r="D70" s="554" t="str">
        <f t="shared" si="41"/>
        <v>n.m.</v>
      </c>
      <c r="E70" s="608"/>
      <c r="F70" s="385"/>
      <c r="G70" s="385"/>
      <c r="H70" s="385"/>
      <c r="I70" s="353">
        <v>493</v>
      </c>
      <c r="J70" s="385">
        <f>-3088+2686+268</f>
        <v>-134</v>
      </c>
      <c r="K70" s="385">
        <f>1987-2009-150</f>
        <v>-172</v>
      </c>
      <c r="L70" s="385">
        <f>456-380-86</f>
        <v>-10</v>
      </c>
      <c r="M70" s="353">
        <f>115-297-32</f>
        <v>-214</v>
      </c>
      <c r="N70" s="254">
        <v>33</v>
      </c>
      <c r="O70" s="385">
        <v>17</v>
      </c>
      <c r="P70" s="385">
        <v>-69</v>
      </c>
      <c r="Q70" s="353">
        <v>-54</v>
      </c>
      <c r="R70" s="254">
        <v>-38</v>
      </c>
      <c r="S70" s="385">
        <v>8</v>
      </c>
      <c r="T70" s="254">
        <v>-69</v>
      </c>
      <c r="U70" s="353">
        <v>10</v>
      </c>
      <c r="V70" s="254">
        <v>221</v>
      </c>
      <c r="W70" s="385">
        <v>-61</v>
      </c>
      <c r="X70" s="254">
        <v>19</v>
      </c>
      <c r="Y70" s="353">
        <v>-21</v>
      </c>
      <c r="Z70" s="254"/>
      <c r="AA70" s="385"/>
      <c r="AB70" s="353"/>
      <c r="AC70" s="353"/>
      <c r="AD70" s="426"/>
      <c r="AE70" s="15"/>
      <c r="AF70" s="15"/>
      <c r="AG70" s="15"/>
      <c r="AH70" s="15"/>
      <c r="AI70" s="15"/>
      <c r="AJ70" s="15"/>
      <c r="AK70" s="15"/>
      <c r="AL70" s="89"/>
      <c r="AM70" s="242">
        <f t="shared" si="42"/>
        <v>-396</v>
      </c>
      <c r="AN70" s="254">
        <f t="shared" si="43"/>
        <v>-106</v>
      </c>
      <c r="AO70" s="254">
        <f t="shared" si="44"/>
        <v>-457</v>
      </c>
      <c r="AP70" s="30" t="str">
        <f t="shared" si="45"/>
        <v>n.m.</v>
      </c>
      <c r="AQ70" s="83"/>
      <c r="AR70" s="635">
        <f t="shared" si="46"/>
        <v>-530</v>
      </c>
      <c r="AS70" s="635">
        <f t="shared" si="47"/>
        <v>-73</v>
      </c>
      <c r="AT70" s="640">
        <f t="shared" si="48"/>
        <v>-89</v>
      </c>
      <c r="AU70" s="43">
        <f t="shared" si="49"/>
        <v>158</v>
      </c>
      <c r="AV70" s="43">
        <v>2224</v>
      </c>
      <c r="AW70" s="43">
        <v>3314</v>
      </c>
      <c r="AX70" s="43">
        <v>-473</v>
      </c>
      <c r="AY70" s="43">
        <v>885</v>
      </c>
      <c r="AZ70" s="31"/>
      <c r="BA70" s="31"/>
      <c r="BB70" s="25"/>
      <c r="BC70" s="3"/>
      <c r="BD70" s="3"/>
      <c r="BG70" s="3"/>
    </row>
    <row r="71" spans="1:59" ht="12.75" customHeight="1">
      <c r="A71" s="193"/>
      <c r="B71" s="7"/>
      <c r="C71" s="578">
        <f t="shared" si="40"/>
        <v>18660</v>
      </c>
      <c r="D71" s="748">
        <f t="shared" si="41"/>
        <v>0.3823222078800172</v>
      </c>
      <c r="E71" s="24"/>
      <c r="F71" s="383">
        <f>SUM(F65:F70)</f>
        <v>0</v>
      </c>
      <c r="G71" s="383">
        <f>SUM(G65:G70)</f>
        <v>0</v>
      </c>
      <c r="H71" s="383">
        <f>SUM(H65:H70)</f>
        <v>0</v>
      </c>
      <c r="I71" s="581">
        <f>SUM(I65:I70)</f>
        <v>67467</v>
      </c>
      <c r="J71" s="383">
        <f aca="true" t="shared" si="50" ref="J71:Q71">SUM(J65:J70)</f>
        <v>72258</v>
      </c>
      <c r="K71" s="383">
        <f t="shared" si="50"/>
        <v>69040</v>
      </c>
      <c r="L71" s="383">
        <f t="shared" si="50"/>
        <v>59706</v>
      </c>
      <c r="M71" s="581">
        <f t="shared" si="50"/>
        <v>48807</v>
      </c>
      <c r="N71" s="383">
        <f t="shared" si="50"/>
        <v>21848</v>
      </c>
      <c r="O71" s="383">
        <f t="shared" si="50"/>
        <v>12748</v>
      </c>
      <c r="P71" s="383">
        <f t="shared" si="50"/>
        <v>9338</v>
      </c>
      <c r="Q71" s="581">
        <f t="shared" si="50"/>
        <v>9246</v>
      </c>
      <c r="R71" s="383">
        <f aca="true" t="shared" si="51" ref="R71:AX71">SUM(R65:R70)</f>
        <v>34555</v>
      </c>
      <c r="S71" s="383">
        <f t="shared" si="51"/>
        <v>23339</v>
      </c>
      <c r="T71" s="383">
        <f t="shared" si="51"/>
        <v>18338</v>
      </c>
      <c r="U71" s="581">
        <f t="shared" si="51"/>
        <v>16445</v>
      </c>
      <c r="V71" s="383">
        <f t="shared" si="51"/>
        <v>21333</v>
      </c>
      <c r="W71" s="383">
        <f t="shared" si="51"/>
        <v>26421</v>
      </c>
      <c r="X71" s="383">
        <f t="shared" si="51"/>
        <v>13775</v>
      </c>
      <c r="Y71" s="581">
        <f t="shared" si="51"/>
        <v>20925</v>
      </c>
      <c r="Z71" s="382">
        <f t="shared" si="51"/>
        <v>0</v>
      </c>
      <c r="AA71" s="383">
        <f t="shared" si="51"/>
        <v>0</v>
      </c>
      <c r="AB71" s="581">
        <f t="shared" si="51"/>
        <v>0</v>
      </c>
      <c r="AC71" s="581">
        <f t="shared" si="51"/>
        <v>0</v>
      </c>
      <c r="AD71" s="581">
        <f t="shared" si="51"/>
        <v>0</v>
      </c>
      <c r="AE71" s="2">
        <f t="shared" si="51"/>
        <v>0</v>
      </c>
      <c r="AF71" s="2">
        <f t="shared" si="51"/>
        <v>0</v>
      </c>
      <c r="AG71" s="2">
        <f t="shared" si="51"/>
        <v>0</v>
      </c>
      <c r="AH71" s="2">
        <f t="shared" si="51"/>
        <v>0</v>
      </c>
      <c r="AI71" s="2">
        <f t="shared" si="51"/>
        <v>0</v>
      </c>
      <c r="AJ71" s="2">
        <f t="shared" si="51"/>
        <v>0</v>
      </c>
      <c r="AK71" s="2">
        <f t="shared" si="51"/>
        <v>0</v>
      </c>
      <c r="AL71" s="24"/>
      <c r="AM71" s="737">
        <f>SUM(AM65:AM70)</f>
        <v>177553</v>
      </c>
      <c r="AN71" s="583">
        <f>SUM(AN65:AN70)</f>
        <v>31332</v>
      </c>
      <c r="AO71" s="381">
        <f t="shared" si="44"/>
        <v>196631</v>
      </c>
      <c r="AP71" s="170" t="str">
        <f t="shared" si="45"/>
        <v>n.m.</v>
      </c>
      <c r="AR71" s="641">
        <f t="shared" si="51"/>
        <v>249811</v>
      </c>
      <c r="AS71" s="641">
        <f t="shared" si="51"/>
        <v>53180</v>
      </c>
      <c r="AT71" s="641">
        <f t="shared" si="51"/>
        <v>92677</v>
      </c>
      <c r="AU71" s="382">
        <f t="shared" si="51"/>
        <v>82454</v>
      </c>
      <c r="AV71" s="580">
        <f t="shared" si="51"/>
        <v>72926</v>
      </c>
      <c r="AW71" s="583">
        <f t="shared" si="51"/>
        <v>118332</v>
      </c>
      <c r="AX71" s="584">
        <f t="shared" si="51"/>
        <v>129852</v>
      </c>
      <c r="AY71" s="173">
        <f>SUM(AY65:AY70)</f>
        <v>125900</v>
      </c>
      <c r="AZ71" s="31"/>
      <c r="BA71" s="31"/>
      <c r="BB71" s="25"/>
      <c r="BC71" s="3"/>
      <c r="BD71" s="3"/>
      <c r="BG71" s="3"/>
    </row>
    <row r="72" spans="1:54" ht="12.75" customHeight="1">
      <c r="A72" s="193"/>
      <c r="B72" s="7"/>
      <c r="C72" s="464"/>
      <c r="D72" s="392"/>
      <c r="E72" s="24"/>
      <c r="F72" s="390"/>
      <c r="G72" s="390"/>
      <c r="H72" s="390"/>
      <c r="I72" s="702"/>
      <c r="J72" s="390"/>
      <c r="K72" s="390"/>
      <c r="L72" s="390"/>
      <c r="M72" s="702"/>
      <c r="N72" s="230"/>
      <c r="O72" s="390"/>
      <c r="P72" s="390"/>
      <c r="Q72" s="702"/>
      <c r="R72" s="230"/>
      <c r="S72" s="390"/>
      <c r="T72" s="390"/>
      <c r="U72" s="702"/>
      <c r="V72" s="230"/>
      <c r="W72" s="702"/>
      <c r="X72" s="702"/>
      <c r="Y72" s="702"/>
      <c r="Z72" s="380"/>
      <c r="AA72" s="380"/>
      <c r="AB72" s="380"/>
      <c r="AC72" s="380"/>
      <c r="AD72" s="380"/>
      <c r="AE72" s="2"/>
      <c r="AF72" s="2"/>
      <c r="AG72" s="2"/>
      <c r="AH72" s="2"/>
      <c r="AI72" s="2"/>
      <c r="AJ72" s="2"/>
      <c r="AK72" s="2"/>
      <c r="AL72" s="24"/>
      <c r="AM72" s="17"/>
      <c r="AN72" s="18"/>
      <c r="AO72" s="721"/>
      <c r="AP72" s="539"/>
      <c r="AR72" s="703"/>
      <c r="AS72" s="703"/>
      <c r="AT72" s="703"/>
      <c r="AU72" s="703"/>
      <c r="AV72" s="505"/>
      <c r="AW72" s="703"/>
      <c r="AX72" s="703"/>
      <c r="AY72" s="213"/>
      <c r="AZ72" s="145"/>
      <c r="BA72" s="145"/>
      <c r="BB72" s="25"/>
    </row>
    <row r="73" spans="1:53" ht="13.5" customHeight="1">
      <c r="A73" s="193"/>
      <c r="B73" s="7" t="s">
        <v>388</v>
      </c>
      <c r="C73" s="154">
        <f>I73-M73</f>
        <v>190</v>
      </c>
      <c r="D73" s="552" t="s">
        <v>44</v>
      </c>
      <c r="E73" s="24"/>
      <c r="F73" s="843"/>
      <c r="G73" s="843"/>
      <c r="H73" s="843"/>
      <c r="I73" s="947">
        <v>0</v>
      </c>
      <c r="J73" s="843">
        <v>-276</v>
      </c>
      <c r="K73" s="843">
        <v>-520</v>
      </c>
      <c r="L73" s="843">
        <v>0</v>
      </c>
      <c r="M73" s="426">
        <v>-190</v>
      </c>
      <c r="N73" s="484">
        <v>0</v>
      </c>
      <c r="O73" s="843">
        <v>0</v>
      </c>
      <c r="P73" s="843">
        <v>0</v>
      </c>
      <c r="Q73" s="844">
        <v>0</v>
      </c>
      <c r="R73" s="484">
        <v>0</v>
      </c>
      <c r="S73" s="843">
        <v>0</v>
      </c>
      <c r="T73" s="843">
        <v>0</v>
      </c>
      <c r="U73" s="844">
        <v>0</v>
      </c>
      <c r="V73" s="704" t="s">
        <v>214</v>
      </c>
      <c r="W73" s="705" t="s">
        <v>214</v>
      </c>
      <c r="X73" s="705" t="s">
        <v>214</v>
      </c>
      <c r="Y73" s="705" t="s">
        <v>214</v>
      </c>
      <c r="Z73" s="706"/>
      <c r="AA73" s="706"/>
      <c r="AB73" s="706"/>
      <c r="AC73" s="706"/>
      <c r="AD73" s="706"/>
      <c r="AE73" s="707"/>
      <c r="AF73" s="707"/>
      <c r="AG73" s="707"/>
      <c r="AH73" s="707"/>
      <c r="AI73" s="707"/>
      <c r="AJ73" s="707"/>
      <c r="AK73" s="707"/>
      <c r="AL73" s="755"/>
      <c r="AM73" s="229">
        <f>SUM(K73:M73)</f>
        <v>-710</v>
      </c>
      <c r="AN73" s="843">
        <f>SUM(O73:Q73)</f>
        <v>0</v>
      </c>
      <c r="AO73" s="843">
        <f>AR73-AS73</f>
        <v>-986</v>
      </c>
      <c r="AP73" s="552" t="s">
        <v>44</v>
      </c>
      <c r="AQ73" s="98"/>
      <c r="AR73" s="845">
        <f>SUM(J73:M73)</f>
        <v>-986</v>
      </c>
      <c r="AS73" s="845">
        <f>SUM(N73:Q73)</f>
        <v>0</v>
      </c>
      <c r="AT73" s="845">
        <f>SUM(R73:U73)</f>
        <v>0</v>
      </c>
      <c r="AU73" s="708" t="s">
        <v>214</v>
      </c>
      <c r="AV73" s="709" t="s">
        <v>214</v>
      </c>
      <c r="AW73" s="708" t="s">
        <v>214</v>
      </c>
      <c r="AX73" s="708" t="s">
        <v>214</v>
      </c>
      <c r="AY73" s="213"/>
      <c r="AZ73" s="145"/>
      <c r="BA73" s="145"/>
    </row>
    <row r="74" spans="2:56" ht="12.75" customHeight="1">
      <c r="B74" s="13"/>
      <c r="C74" s="255"/>
      <c r="D74" s="255"/>
      <c r="E74" s="255"/>
      <c r="F74" s="255"/>
      <c r="G74" s="255"/>
      <c r="H74" s="255"/>
      <c r="I74" s="2"/>
      <c r="J74" s="255"/>
      <c r="K74" s="255"/>
      <c r="L74" s="255"/>
      <c r="M74" s="2"/>
      <c r="N74" s="255"/>
      <c r="O74" s="255"/>
      <c r="P74" s="255"/>
      <c r="Q74" s="2"/>
      <c r="R74" s="255"/>
      <c r="S74" s="255"/>
      <c r="T74" s="255"/>
      <c r="U74" s="2"/>
      <c r="V74" s="255"/>
      <c r="W74" s="255"/>
      <c r="X74" s="255"/>
      <c r="Y74" s="2"/>
      <c r="Z74" s="255"/>
      <c r="AA74" s="255"/>
      <c r="AB74" s="255"/>
      <c r="AC74" s="2"/>
      <c r="AG74" s="2"/>
      <c r="AI74" s="2"/>
      <c r="AJ74" s="2"/>
      <c r="AK74" s="256"/>
      <c r="AL74" s="243"/>
      <c r="AM74" s="243"/>
      <c r="AN74" s="243"/>
      <c r="AO74" s="243"/>
      <c r="AP74" s="243"/>
      <c r="AQ74" s="245"/>
      <c r="AR74" s="243"/>
      <c r="AS74" s="243"/>
      <c r="AT74" s="243"/>
      <c r="AU74" s="245"/>
      <c r="AV74" s="245"/>
      <c r="BB74" s="3"/>
      <c r="BC74" s="3"/>
      <c r="BD74" s="3"/>
    </row>
    <row r="75" ht="12.75">
      <c r="A75" s="7" t="s">
        <v>30</v>
      </c>
    </row>
    <row r="76" spans="3:56" ht="4.5" customHeight="1">
      <c r="C76" s="83"/>
      <c r="D76" s="83"/>
      <c r="E76" s="148"/>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642"/>
      <c r="AP76" s="642"/>
      <c r="AQ76" s="213"/>
      <c r="AR76" s="642"/>
      <c r="AS76" s="642"/>
      <c r="AT76" s="642"/>
      <c r="AU76" s="213"/>
      <c r="AV76" s="213"/>
      <c r="AW76" s="213"/>
      <c r="AX76" s="213"/>
      <c r="AY76" s="213"/>
      <c r="BB76" s="3"/>
      <c r="BC76" s="3"/>
      <c r="BD76" s="3"/>
    </row>
    <row r="77" spans="1:20" ht="12.75">
      <c r="A77" s="7" t="s">
        <v>405</v>
      </c>
      <c r="B77" s="3"/>
      <c r="C77" s="243"/>
      <c r="D77" s="243"/>
      <c r="E77" s="243"/>
      <c r="F77" s="32"/>
      <c r="G77" s="32"/>
      <c r="H77" s="32"/>
      <c r="I77" s="32"/>
      <c r="J77" s="32"/>
      <c r="K77" s="32"/>
      <c r="L77" s="32"/>
      <c r="M77" s="32"/>
      <c r="N77" s="32"/>
      <c r="O77" s="32"/>
      <c r="P77" s="32"/>
      <c r="Q77" s="32"/>
      <c r="R77" s="32"/>
      <c r="S77" s="32"/>
      <c r="T77" s="32"/>
    </row>
    <row r="78" spans="3:57" ht="12.75">
      <c r="C78" s="83"/>
      <c r="D78" s="83"/>
      <c r="E78" s="148"/>
      <c r="F78" s="148"/>
      <c r="G78" s="148"/>
      <c r="H78" s="148"/>
      <c r="I78"/>
      <c r="J78" s="148"/>
      <c r="K78" s="148"/>
      <c r="L78" s="148"/>
      <c r="M78"/>
      <c r="N78" s="148"/>
      <c r="O78" s="148"/>
      <c r="P78" s="148"/>
      <c r="Q78"/>
      <c r="R78" s="148"/>
      <c r="S78" s="148"/>
      <c r="T78" s="148"/>
      <c r="U78"/>
      <c r="V78" s="148"/>
      <c r="W78" s="148"/>
      <c r="X78" s="148"/>
      <c r="Y78"/>
      <c r="Z78" s="148"/>
      <c r="AA78" s="148"/>
      <c r="AB78" s="148"/>
      <c r="AK78" s="31"/>
      <c r="AL78" s="148"/>
      <c r="AM78" s="148"/>
      <c r="AN78" s="148"/>
      <c r="AO78" s="254"/>
      <c r="AP78" s="41"/>
      <c r="AQ78" s="148"/>
      <c r="AR78" s="655"/>
      <c r="AS78" s="655"/>
      <c r="AT78" s="633"/>
      <c r="AU78" s="148"/>
      <c r="AV78" s="148"/>
      <c r="AW78" s="3"/>
      <c r="AX78" s="31"/>
      <c r="AY78" s="3"/>
      <c r="AZ78" s="3"/>
      <c r="BA78" s="3"/>
      <c r="BB78" s="3"/>
      <c r="BC78" s="3"/>
      <c r="BD78" s="3"/>
      <c r="BE78" s="3"/>
    </row>
    <row r="79" spans="3:57" ht="12.75">
      <c r="C79" s="83"/>
      <c r="D79" s="83"/>
      <c r="E79" s="148"/>
      <c r="F79" s="148"/>
      <c r="G79" s="148"/>
      <c r="H79" s="148"/>
      <c r="I79"/>
      <c r="J79" s="148"/>
      <c r="K79" s="148"/>
      <c r="L79" s="148"/>
      <c r="M79"/>
      <c r="N79" s="148"/>
      <c r="O79" s="148"/>
      <c r="P79" s="148"/>
      <c r="Q79"/>
      <c r="R79" s="148"/>
      <c r="S79" s="148"/>
      <c r="T79" s="148"/>
      <c r="U79"/>
      <c r="V79" s="148"/>
      <c r="W79" s="148"/>
      <c r="X79" s="148"/>
      <c r="Y79"/>
      <c r="Z79" s="148"/>
      <c r="AA79" s="148"/>
      <c r="AB79" s="148"/>
      <c r="AK79" s="31"/>
      <c r="AL79" s="148"/>
      <c r="AM79" s="148"/>
      <c r="AN79" s="148"/>
      <c r="AO79" s="633"/>
      <c r="AP79" s="633"/>
      <c r="AQ79" s="148"/>
      <c r="AR79" s="655"/>
      <c r="AS79" s="655"/>
      <c r="AT79" s="633"/>
      <c r="AU79" s="148"/>
      <c r="AV79" s="148"/>
      <c r="AW79" s="3"/>
      <c r="AX79" s="7"/>
      <c r="AY79" s="3"/>
      <c r="AZ79" s="3"/>
      <c r="BA79" s="3"/>
      <c r="BB79" s="3"/>
      <c r="BC79" s="3"/>
      <c r="BD79" s="3"/>
      <c r="BE79" s="3"/>
    </row>
    <row r="80" spans="9:57" ht="12.75">
      <c r="I80"/>
      <c r="M80"/>
      <c r="Q80"/>
      <c r="U80"/>
      <c r="Y80"/>
      <c r="AK80" s="11"/>
      <c r="AL80" s="3"/>
      <c r="AM80" s="3"/>
      <c r="AN80" s="3"/>
      <c r="AO80" s="442"/>
      <c r="AP80" s="41"/>
      <c r="AQ80" s="3"/>
      <c r="AR80" s="901"/>
      <c r="AS80" s="901"/>
      <c r="AT80" s="626"/>
      <c r="AU80" s="3"/>
      <c r="AV80" s="3"/>
      <c r="AW80" s="3"/>
      <c r="AX80" s="32"/>
      <c r="AY80" s="3"/>
      <c r="AZ80" s="31"/>
      <c r="BA80" s="3"/>
      <c r="BB80" s="3"/>
      <c r="BC80" s="3"/>
      <c r="BD80" s="3"/>
      <c r="BE80" s="3"/>
    </row>
    <row r="81" spans="9:57" ht="12.75">
      <c r="I81"/>
      <c r="M81"/>
      <c r="Q81"/>
      <c r="U81"/>
      <c r="Y81"/>
      <c r="AK81" s="33"/>
      <c r="AL81" s="3"/>
      <c r="AM81" s="3"/>
      <c r="AN81" s="3"/>
      <c r="AO81" s="626"/>
      <c r="AP81" s="626"/>
      <c r="AQ81" s="3"/>
      <c r="AR81" s="626"/>
      <c r="AS81" s="626"/>
      <c r="AT81" s="626"/>
      <c r="AU81" s="3"/>
      <c r="AV81" s="3"/>
      <c r="AW81" s="3"/>
      <c r="AX81" s="2"/>
      <c r="AY81" s="3"/>
      <c r="AZ81" s="32"/>
      <c r="BA81" s="3"/>
      <c r="BB81" s="3"/>
      <c r="BC81" s="3"/>
      <c r="BD81" s="3"/>
      <c r="BE81" s="3"/>
    </row>
    <row r="82" spans="9:57" ht="12.75">
      <c r="I82"/>
      <c r="M82"/>
      <c r="Q82"/>
      <c r="U82" s="32">
        <f aca="true" t="shared" si="52" ref="U82:AK82">U71-U16</f>
        <v>0</v>
      </c>
      <c r="V82" s="32">
        <f t="shared" si="52"/>
        <v>0</v>
      </c>
      <c r="W82" s="32">
        <f t="shared" si="52"/>
        <v>0</v>
      </c>
      <c r="X82" s="32">
        <f t="shared" si="52"/>
        <v>0</v>
      </c>
      <c r="Y82" s="32">
        <f t="shared" si="52"/>
        <v>0</v>
      </c>
      <c r="Z82" s="32">
        <f t="shared" si="52"/>
        <v>0</v>
      </c>
      <c r="AA82" s="32">
        <f t="shared" si="52"/>
        <v>0</v>
      </c>
      <c r="AB82" s="32">
        <f t="shared" si="52"/>
        <v>0</v>
      </c>
      <c r="AC82" s="32">
        <f t="shared" si="52"/>
        <v>0</v>
      </c>
      <c r="AD82" s="32">
        <f t="shared" si="52"/>
        <v>0</v>
      </c>
      <c r="AE82" s="32">
        <f t="shared" si="52"/>
        <v>0</v>
      </c>
      <c r="AF82" s="32">
        <f t="shared" si="52"/>
        <v>0</v>
      </c>
      <c r="AG82" s="32">
        <f t="shared" si="52"/>
        <v>0</v>
      </c>
      <c r="AH82" s="32">
        <f t="shared" si="52"/>
        <v>0</v>
      </c>
      <c r="AI82" s="32">
        <f t="shared" si="52"/>
        <v>0</v>
      </c>
      <c r="AJ82" s="32">
        <f t="shared" si="52"/>
        <v>0</v>
      </c>
      <c r="AK82" s="32">
        <f t="shared" si="52"/>
        <v>0</v>
      </c>
      <c r="AL82" s="32"/>
      <c r="AM82" s="32"/>
      <c r="AN82" s="32"/>
      <c r="AO82" s="632"/>
      <c r="AP82" s="632"/>
      <c r="AQ82" s="32"/>
      <c r="AR82" s="632"/>
      <c r="AS82" s="632"/>
      <c r="AT82" s="632"/>
      <c r="AU82" s="32"/>
      <c r="AV82" s="32"/>
      <c r="AW82" s="32"/>
      <c r="AX82" s="32"/>
      <c r="AY82" s="32"/>
      <c r="AZ82" s="3"/>
      <c r="BA82" s="3"/>
      <c r="BB82" s="3"/>
      <c r="BC82" s="3"/>
      <c r="BD82" s="3"/>
      <c r="BE82" s="3"/>
    </row>
    <row r="83" spans="9:57" ht="12.75">
      <c r="I83"/>
      <c r="M83"/>
      <c r="Q83"/>
      <c r="U83"/>
      <c r="Y83"/>
      <c r="AK83" s="2"/>
      <c r="AL83" s="3"/>
      <c r="AM83" s="3"/>
      <c r="AN83" s="3"/>
      <c r="AO83" s="626"/>
      <c r="AP83" s="626"/>
      <c r="AQ83" s="3"/>
      <c r="AR83" s="626"/>
      <c r="AS83" s="626"/>
      <c r="AT83" s="626"/>
      <c r="AU83" s="3"/>
      <c r="AV83" s="3"/>
      <c r="AW83" s="3"/>
      <c r="AX83" s="32"/>
      <c r="AY83" s="3"/>
      <c r="AZ83" s="3"/>
      <c r="BA83" s="3"/>
      <c r="BB83" s="3"/>
      <c r="BC83" s="3"/>
      <c r="BD83" s="3"/>
      <c r="BE83" s="3"/>
    </row>
    <row r="84" spans="29:57" ht="12.75">
      <c r="AC84" s="3"/>
      <c r="AD84" s="3"/>
      <c r="AH84" s="3"/>
      <c r="AK84" s="7"/>
      <c r="AL84" s="3"/>
      <c r="AM84" s="3"/>
      <c r="AN84" s="3"/>
      <c r="AO84" s="626"/>
      <c r="AP84" s="626"/>
      <c r="AQ84" s="3"/>
      <c r="AR84" s="626"/>
      <c r="AS84" s="626"/>
      <c r="AT84" s="626"/>
      <c r="AU84" s="3"/>
      <c r="AV84" s="3"/>
      <c r="AW84" s="3"/>
      <c r="AX84" s="32"/>
      <c r="AY84" s="3"/>
      <c r="AZ84" s="3"/>
      <c r="BA84" s="3"/>
      <c r="BB84" s="3"/>
      <c r="BC84" s="3"/>
      <c r="BD84" s="3"/>
      <c r="BE84" s="3"/>
    </row>
    <row r="85" spans="9:57" ht="12.75">
      <c r="I85"/>
      <c r="M85"/>
      <c r="Q85"/>
      <c r="U85"/>
      <c r="Y85"/>
      <c r="AK85" s="32"/>
      <c r="AL85" s="3"/>
      <c r="AM85" s="3"/>
      <c r="AN85" s="3"/>
      <c r="AO85" s="626"/>
      <c r="AP85" s="626"/>
      <c r="AQ85" s="3"/>
      <c r="AR85" s="626"/>
      <c r="AS85" s="626"/>
      <c r="AT85" s="626"/>
      <c r="AU85" s="3"/>
      <c r="AV85" s="3"/>
      <c r="AW85" s="3"/>
      <c r="AX85" s="11"/>
      <c r="AY85" s="3"/>
      <c r="AZ85" s="3"/>
      <c r="BA85" s="3"/>
      <c r="BB85" s="3"/>
      <c r="BC85" s="3"/>
      <c r="BD85" s="3"/>
      <c r="BE85" s="3"/>
    </row>
    <row r="86" spans="9:57" ht="12.75">
      <c r="I86"/>
      <c r="M86"/>
      <c r="Q86"/>
      <c r="U86"/>
      <c r="Y86"/>
      <c r="AK86" s="41"/>
      <c r="AL86" s="3"/>
      <c r="AM86" s="3"/>
      <c r="AN86" s="3"/>
      <c r="AO86" s="626"/>
      <c r="AP86" s="626"/>
      <c r="AQ86" s="3"/>
      <c r="AR86" s="626"/>
      <c r="AS86" s="626"/>
      <c r="AT86" s="626"/>
      <c r="AU86" s="3"/>
      <c r="AV86" s="3"/>
      <c r="AW86" s="3"/>
      <c r="AX86" s="35"/>
      <c r="AY86" s="3"/>
      <c r="AZ86" s="3"/>
      <c r="BA86" s="3"/>
      <c r="BB86" s="3"/>
      <c r="BC86" s="3"/>
      <c r="BD86" s="3"/>
      <c r="BE86" s="3"/>
    </row>
    <row r="87" spans="9:57" ht="12.75">
      <c r="I87"/>
      <c r="M87"/>
      <c r="Q87"/>
      <c r="U87"/>
      <c r="Y87"/>
      <c r="AK87" s="41"/>
      <c r="AL87" s="3"/>
      <c r="AM87" s="3"/>
      <c r="AN87" s="3"/>
      <c r="AO87" s="626"/>
      <c r="AP87" s="626"/>
      <c r="AQ87" s="3"/>
      <c r="AR87" s="626"/>
      <c r="AS87" s="626"/>
      <c r="AT87" s="626"/>
      <c r="AU87" s="3"/>
      <c r="AV87" s="3"/>
      <c r="AW87" s="3"/>
      <c r="AX87" s="35"/>
      <c r="AY87" s="3"/>
      <c r="AZ87" s="3"/>
      <c r="BA87" s="3"/>
      <c r="BB87" s="3"/>
      <c r="BC87" s="3"/>
      <c r="BD87" s="3"/>
      <c r="BE87" s="3"/>
    </row>
    <row r="88" spans="9:57" ht="12.75">
      <c r="I88"/>
      <c r="M88"/>
      <c r="Q88"/>
      <c r="U88"/>
      <c r="Y88"/>
      <c r="AK88" s="41"/>
      <c r="AL88" s="3"/>
      <c r="AM88" s="3"/>
      <c r="AN88" s="3"/>
      <c r="AO88" s="626"/>
      <c r="AP88" s="626"/>
      <c r="AQ88" s="3"/>
      <c r="AR88" s="626"/>
      <c r="AS88" s="626"/>
      <c r="AT88" s="626"/>
      <c r="AU88" s="3"/>
      <c r="AV88" s="3"/>
      <c r="AW88" s="3"/>
      <c r="AX88" s="35"/>
      <c r="AY88" s="3"/>
      <c r="AZ88" s="3"/>
      <c r="BA88" s="3"/>
      <c r="BB88" s="3"/>
      <c r="BC88" s="3"/>
      <c r="BD88" s="3"/>
      <c r="BE88" s="3"/>
    </row>
    <row r="89" spans="9:57" ht="12.75">
      <c r="I89"/>
      <c r="M89"/>
      <c r="Q89"/>
      <c r="U89"/>
      <c r="Y89"/>
      <c r="AK89" s="35"/>
      <c r="AL89" s="3"/>
      <c r="AM89" s="3"/>
      <c r="AN89" s="3"/>
      <c r="AO89" s="626"/>
      <c r="AP89" s="626"/>
      <c r="AQ89" s="3"/>
      <c r="AR89" s="626"/>
      <c r="AS89" s="626"/>
      <c r="AT89" s="626"/>
      <c r="AU89" s="3"/>
      <c r="AV89" s="3"/>
      <c r="AW89" s="3"/>
      <c r="AX89" s="36"/>
      <c r="AY89" s="3"/>
      <c r="AZ89" s="3"/>
      <c r="BA89" s="3"/>
      <c r="BB89" s="3"/>
      <c r="BC89" s="3"/>
      <c r="BD89" s="3"/>
      <c r="BE89" s="3"/>
    </row>
    <row r="90" spans="9:57" ht="12.75">
      <c r="I90"/>
      <c r="M90"/>
      <c r="Q90"/>
      <c r="U90"/>
      <c r="Y90"/>
      <c r="AK90" s="36"/>
      <c r="AL90" s="3"/>
      <c r="AM90" s="3"/>
      <c r="AN90" s="3"/>
      <c r="AO90" s="626"/>
      <c r="AP90" s="626"/>
      <c r="AQ90" s="3"/>
      <c r="AR90" s="626"/>
      <c r="AS90" s="626"/>
      <c r="AT90" s="626"/>
      <c r="AU90" s="3"/>
      <c r="AV90" s="3"/>
      <c r="AW90" s="36"/>
      <c r="AX90" s="36"/>
      <c r="AY90" s="3"/>
      <c r="AZ90" s="3"/>
      <c r="BA90" s="3"/>
      <c r="BB90" s="3"/>
      <c r="BC90" s="3"/>
      <c r="BD90" s="3"/>
      <c r="BE90" s="3"/>
    </row>
    <row r="91" spans="9:50" ht="12.75">
      <c r="I91"/>
      <c r="M91"/>
      <c r="Q91"/>
      <c r="U91"/>
      <c r="Y91"/>
      <c r="AK91" s="36"/>
      <c r="AL91" s="3"/>
      <c r="AM91" s="3"/>
      <c r="AN91" s="3"/>
      <c r="AR91" s="626"/>
      <c r="AS91" s="626"/>
      <c r="AT91" s="626"/>
      <c r="AW91" s="3"/>
      <c r="AX91" s="3"/>
    </row>
    <row r="92" spans="9:50" ht="12.75">
      <c r="I92"/>
      <c r="M92"/>
      <c r="Q92"/>
      <c r="U92"/>
      <c r="Y92"/>
      <c r="AK92" s="3"/>
      <c r="AL92" s="3"/>
      <c r="AM92" s="3"/>
      <c r="AN92" s="3"/>
      <c r="AR92" s="626"/>
      <c r="AS92" s="626"/>
      <c r="AT92" s="626"/>
      <c r="AW92" s="3"/>
      <c r="AX92" s="3"/>
    </row>
    <row r="93" spans="9:50" ht="12.75">
      <c r="I93"/>
      <c r="M93"/>
      <c r="Q93"/>
      <c r="U93"/>
      <c r="Y93"/>
      <c r="AK93" s="3"/>
      <c r="AL93" s="3"/>
      <c r="AM93" s="3"/>
      <c r="AN93" s="3"/>
      <c r="AR93" s="626"/>
      <c r="AS93" s="626"/>
      <c r="AT93" s="626"/>
      <c r="AW93" s="3"/>
      <c r="AX93" s="3"/>
    </row>
    <row r="94" spans="9:50" ht="12.75">
      <c r="I94"/>
      <c r="M94"/>
      <c r="Q94"/>
      <c r="U94"/>
      <c r="Y94"/>
      <c r="AK94" s="3"/>
      <c r="AL94" s="3"/>
      <c r="AM94" s="3"/>
      <c r="AN94" s="3"/>
      <c r="AR94" s="626"/>
      <c r="AS94" s="626"/>
      <c r="AT94" s="626"/>
      <c r="AW94" s="3"/>
      <c r="AX94" s="3"/>
    </row>
    <row r="95" spans="9:50" ht="12.75">
      <c r="I95"/>
      <c r="M95"/>
      <c r="Q95"/>
      <c r="U95"/>
      <c r="Y95"/>
      <c r="AK95" s="3"/>
      <c r="AL95" s="3"/>
      <c r="AM95" s="3"/>
      <c r="AN95" s="3"/>
      <c r="AR95" s="626"/>
      <c r="AS95" s="626"/>
      <c r="AT95" s="626"/>
      <c r="AW95" s="3"/>
      <c r="AX95" s="3"/>
    </row>
    <row r="96" spans="9:46" ht="12.75">
      <c r="I96"/>
      <c r="M96"/>
      <c r="Q96"/>
      <c r="U96"/>
      <c r="Y96"/>
      <c r="AK96" s="3"/>
      <c r="AL96" s="3"/>
      <c r="AM96" s="3"/>
      <c r="AN96" s="3"/>
      <c r="AR96" s="626"/>
      <c r="AS96" s="626"/>
      <c r="AT96" s="626"/>
    </row>
    <row r="97" spans="9:25" ht="12.75">
      <c r="I97"/>
      <c r="M97"/>
      <c r="Q97"/>
      <c r="U97"/>
      <c r="Y97"/>
    </row>
  </sheetData>
  <sheetProtection/>
  <mergeCells count="11">
    <mergeCell ref="C10:D10"/>
    <mergeCell ref="C11:D11"/>
    <mergeCell ref="AO11:AP11"/>
    <mergeCell ref="A36:B36"/>
    <mergeCell ref="A42:B42"/>
    <mergeCell ref="C57:D57"/>
    <mergeCell ref="AO57:AP57"/>
    <mergeCell ref="C63:D63"/>
    <mergeCell ref="C64:D64"/>
    <mergeCell ref="AO64:AP64"/>
    <mergeCell ref="C56:D56"/>
  </mergeCells>
  <conditionalFormatting sqref="AZ81 AQ46:AQ51 AU46:AX51 A46:A47 A54:A55 Z51:AB51 X51 A62 A70:A73 C51:E51 X46:AK50 AP46:AP50 D46:E50 AL46:AN51 AT48:AW48 J46:W51 AS46:AS51 AR46:AT50">
    <cfRule type="cellIs" priority="5" dxfId="0" operator="equal" stopIfTrue="1">
      <formula>0</formula>
    </cfRule>
  </conditionalFormatting>
  <conditionalFormatting sqref="A72:A73">
    <cfRule type="cellIs" priority="4" dxfId="0" operator="equal" stopIfTrue="1">
      <formula>0</formula>
    </cfRule>
  </conditionalFormatting>
  <conditionalFormatting sqref="AR51">
    <cfRule type="cellIs" priority="2" dxfId="0" operator="equal" stopIfTrue="1">
      <formula>0</formula>
    </cfRule>
  </conditionalFormatting>
  <conditionalFormatting sqref="F46:I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&amp;L&amp;F&amp;CPage 8</oddFooter>
  </headerFooter>
  <colBreaks count="1" manualBreakCount="1">
    <brk id="51" max="61"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BI96"/>
  <sheetViews>
    <sheetView view="pageBreakPreview" zoomScale="90" zoomScaleSheetLayoutView="90" zoomScalePageLayoutView="0" workbookViewId="0" topLeftCell="A24">
      <selection activeCell="B21" sqref="B21:L21"/>
    </sheetView>
  </sheetViews>
  <sheetFormatPr defaultColWidth="9.140625" defaultRowHeight="12.75" outlineLevelRow="1"/>
  <cols>
    <col min="1" max="1" width="2.7109375" style="0" customWidth="1"/>
    <col min="2" max="2" width="45.00390625" style="0" customWidth="1"/>
    <col min="3" max="3" width="9.57421875" style="0" customWidth="1"/>
    <col min="4" max="4" width="9.7109375" style="0" customWidth="1"/>
    <col min="5" max="5" width="1.57421875" style="3" customWidth="1"/>
    <col min="6" max="8" width="9.00390625" style="3" hidden="1" customWidth="1"/>
    <col min="9" max="17" width="9.00390625" style="3" customWidth="1"/>
    <col min="18" max="27" width="9.00390625" style="3" hidden="1" customWidth="1"/>
    <col min="28" max="28" width="9.7109375" style="3" hidden="1" customWidth="1"/>
    <col min="29" max="37" width="9.7109375" style="0" hidden="1" customWidth="1"/>
    <col min="38" max="38" width="1.57421875" style="0" customWidth="1"/>
    <col min="39" max="40" width="9.421875" style="0" hidden="1" customWidth="1"/>
    <col min="41" max="42" width="9.421875" style="107" hidden="1" customWidth="1"/>
    <col min="43" max="43" width="1.57421875" style="0" hidden="1" customWidth="1"/>
    <col min="44" max="46" width="9.7109375" style="107" customWidth="1"/>
    <col min="47" max="48" width="9.7109375" style="0" customWidth="1"/>
    <col min="49" max="53" width="9.7109375" style="0" hidden="1" customWidth="1"/>
    <col min="54" max="54" width="1.57421875" style="0" customWidth="1"/>
  </cols>
  <sheetData>
    <row r="1" ht="12.75">
      <c r="AB1" s="457"/>
    </row>
    <row r="2" ht="12.75">
      <c r="AB2" s="457"/>
    </row>
    <row r="3" ht="12.75">
      <c r="AB3" s="457"/>
    </row>
    <row r="4" spans="26:28" ht="12.75">
      <c r="Z4" s="2"/>
      <c r="AB4" s="457"/>
    </row>
    <row r="5" spans="1:44" ht="12.75">
      <c r="A5" s="3"/>
      <c r="B5" s="3"/>
      <c r="C5" s="3"/>
      <c r="D5" s="3"/>
      <c r="Z5" s="2"/>
      <c r="AB5" s="457"/>
      <c r="AC5" s="3"/>
      <c r="AD5" s="3"/>
      <c r="AE5" s="3"/>
      <c r="AR5" s="899"/>
    </row>
    <row r="6" spans="1:31" ht="18" customHeight="1">
      <c r="A6" s="134" t="s">
        <v>106</v>
      </c>
      <c r="B6" s="3"/>
      <c r="C6" s="3"/>
      <c r="D6" s="3"/>
      <c r="Z6" s="2"/>
      <c r="AB6" s="457"/>
      <c r="AC6" s="3"/>
      <c r="AD6" s="3"/>
      <c r="AE6" s="3"/>
    </row>
    <row r="7" spans="1:31" ht="18" customHeight="1">
      <c r="A7" s="134" t="s">
        <v>267</v>
      </c>
      <c r="B7" s="3"/>
      <c r="C7" s="3"/>
      <c r="D7" s="3"/>
      <c r="Z7" s="2"/>
      <c r="AB7" s="457"/>
      <c r="AC7" s="3"/>
      <c r="AD7" s="3"/>
      <c r="AE7" s="3"/>
    </row>
    <row r="8" spans="1:44" ht="12.75">
      <c r="A8" s="788" t="s">
        <v>339</v>
      </c>
      <c r="B8" s="3"/>
      <c r="C8" s="3"/>
      <c r="D8" s="3"/>
      <c r="N8" s="900"/>
      <c r="O8" s="900"/>
      <c r="P8" s="900"/>
      <c r="Q8" s="900"/>
      <c r="Z8" s="2"/>
      <c r="AB8" s="457"/>
      <c r="AC8" s="3"/>
      <c r="AD8" s="3"/>
      <c r="AE8" s="3"/>
      <c r="AR8" s="899"/>
    </row>
    <row r="9" spans="1:53" ht="9.75" customHeight="1">
      <c r="A9" s="2"/>
      <c r="B9" s="2"/>
      <c r="C9" s="2"/>
      <c r="D9" s="2"/>
      <c r="E9" s="2"/>
      <c r="F9" s="2"/>
      <c r="G9" s="2"/>
      <c r="H9" s="2"/>
      <c r="I9" s="2"/>
      <c r="J9" s="2"/>
      <c r="K9" s="2"/>
      <c r="L9" s="2"/>
      <c r="M9" s="2"/>
      <c r="N9" s="491"/>
      <c r="O9" s="2"/>
      <c r="P9" s="2"/>
      <c r="Q9" s="2"/>
      <c r="R9" s="491"/>
      <c r="S9" s="2"/>
      <c r="T9" s="491"/>
      <c r="U9" s="2"/>
      <c r="V9" s="491"/>
      <c r="W9" s="2"/>
      <c r="X9" s="491"/>
      <c r="Y9" s="2"/>
      <c r="Z9" s="491"/>
      <c r="AA9" s="2"/>
      <c r="AB9" s="2"/>
      <c r="AC9" s="3"/>
      <c r="AD9" s="3"/>
      <c r="AE9" s="3"/>
      <c r="AO9" s="626"/>
      <c r="AP9" s="626"/>
      <c r="AR9" s="626"/>
      <c r="AS9" s="626"/>
      <c r="AT9" s="626"/>
      <c r="AY9" s="3"/>
      <c r="AZ9" s="3"/>
      <c r="BA9" s="3"/>
    </row>
    <row r="10" spans="1:54" ht="12.75">
      <c r="A10" s="6" t="s">
        <v>1</v>
      </c>
      <c r="B10" s="7"/>
      <c r="C10" s="1437" t="s">
        <v>428</v>
      </c>
      <c r="D10" s="1438"/>
      <c r="E10" s="259"/>
      <c r="F10" s="477"/>
      <c r="G10" s="477"/>
      <c r="H10" s="477"/>
      <c r="I10" s="19"/>
      <c r="J10" s="477"/>
      <c r="K10" s="477"/>
      <c r="L10" s="477"/>
      <c r="M10" s="19"/>
      <c r="N10" s="17"/>
      <c r="O10" s="18"/>
      <c r="P10" s="477"/>
      <c r="Q10" s="19"/>
      <c r="R10" s="17"/>
      <c r="S10" s="18"/>
      <c r="T10" s="477"/>
      <c r="U10" s="19"/>
      <c r="W10" s="18"/>
      <c r="X10" s="2"/>
      <c r="Y10" s="19"/>
      <c r="Z10" s="18"/>
      <c r="AB10" s="477"/>
      <c r="AC10" s="19"/>
      <c r="AD10" s="18"/>
      <c r="AE10" s="18"/>
      <c r="AF10" s="18"/>
      <c r="AG10" s="18"/>
      <c r="AH10" s="22"/>
      <c r="AI10" s="19"/>
      <c r="AJ10" s="19"/>
      <c r="AK10" s="19"/>
      <c r="AL10" s="24"/>
      <c r="AM10" s="725" t="s">
        <v>406</v>
      </c>
      <c r="AN10" s="711"/>
      <c r="AO10" s="711" t="s">
        <v>386</v>
      </c>
      <c r="AP10" s="712"/>
      <c r="AQ10" s="15"/>
      <c r="AR10" s="669"/>
      <c r="AS10" s="669"/>
      <c r="AT10" s="669"/>
      <c r="AU10" s="88"/>
      <c r="AV10" s="88"/>
      <c r="AW10" s="17"/>
      <c r="AX10" s="22"/>
      <c r="AY10" s="88"/>
      <c r="AZ10" s="350"/>
      <c r="BA10" s="756"/>
      <c r="BB10" s="25"/>
    </row>
    <row r="11" spans="1:61" ht="13.5">
      <c r="A11" s="6" t="s">
        <v>2</v>
      </c>
      <c r="B11" s="7"/>
      <c r="C11" s="1439" t="s">
        <v>41</v>
      </c>
      <c r="D11" s="1440"/>
      <c r="E11" s="603"/>
      <c r="F11" s="21" t="s">
        <v>431</v>
      </c>
      <c r="G11" s="21" t="s">
        <v>430</v>
      </c>
      <c r="H11" s="21" t="s">
        <v>429</v>
      </c>
      <c r="I11" s="14" t="s">
        <v>427</v>
      </c>
      <c r="J11" s="21" t="s">
        <v>362</v>
      </c>
      <c r="K11" s="21" t="s">
        <v>363</v>
      </c>
      <c r="L11" s="21" t="s">
        <v>364</v>
      </c>
      <c r="M11" s="14" t="s">
        <v>365</v>
      </c>
      <c r="N11" s="20" t="s">
        <v>277</v>
      </c>
      <c r="O11" s="21" t="s">
        <v>278</v>
      </c>
      <c r="P11" s="21" t="s">
        <v>279</v>
      </c>
      <c r="Q11" s="14" t="s">
        <v>276</v>
      </c>
      <c r="R11" s="20" t="s">
        <v>222</v>
      </c>
      <c r="S11" s="21" t="s">
        <v>223</v>
      </c>
      <c r="T11" s="21" t="s">
        <v>224</v>
      </c>
      <c r="U11" s="14" t="s">
        <v>225</v>
      </c>
      <c r="V11" s="21" t="s">
        <v>141</v>
      </c>
      <c r="W11" s="21" t="s">
        <v>140</v>
      </c>
      <c r="X11" s="21" t="s">
        <v>139</v>
      </c>
      <c r="Y11" s="14" t="s">
        <v>138</v>
      </c>
      <c r="Z11" s="21" t="s">
        <v>91</v>
      </c>
      <c r="AA11" s="21" t="s">
        <v>92</v>
      </c>
      <c r="AB11" s="21" t="s">
        <v>93</v>
      </c>
      <c r="AC11" s="14" t="s">
        <v>32</v>
      </c>
      <c r="AD11" s="21" t="s">
        <v>33</v>
      </c>
      <c r="AE11" s="21" t="s">
        <v>34</v>
      </c>
      <c r="AF11" s="21" t="s">
        <v>35</v>
      </c>
      <c r="AG11" s="21" t="s">
        <v>36</v>
      </c>
      <c r="AH11" s="23" t="s">
        <v>37</v>
      </c>
      <c r="AI11" s="14" t="s">
        <v>38</v>
      </c>
      <c r="AJ11" s="14" t="s">
        <v>39</v>
      </c>
      <c r="AK11" s="14" t="s">
        <v>40</v>
      </c>
      <c r="AL11" s="259"/>
      <c r="AM11" s="21" t="s">
        <v>363</v>
      </c>
      <c r="AN11" s="21" t="s">
        <v>278</v>
      </c>
      <c r="AO11" s="1461" t="s">
        <v>41</v>
      </c>
      <c r="AP11" s="1436"/>
      <c r="AQ11" s="16"/>
      <c r="AR11" s="20" t="s">
        <v>367</v>
      </c>
      <c r="AS11" s="20" t="s">
        <v>285</v>
      </c>
      <c r="AT11" s="20" t="s">
        <v>143</v>
      </c>
      <c r="AU11" s="20" t="s">
        <v>142</v>
      </c>
      <c r="AV11" s="20" t="s">
        <v>45</v>
      </c>
      <c r="AW11" s="20" t="s">
        <v>42</v>
      </c>
      <c r="AX11" s="23" t="s">
        <v>43</v>
      </c>
      <c r="AY11" s="23" t="s">
        <v>165</v>
      </c>
      <c r="AZ11" s="23" t="s">
        <v>166</v>
      </c>
      <c r="BA11" s="232" t="s">
        <v>167</v>
      </c>
      <c r="BB11" s="25"/>
      <c r="BC11" s="3"/>
      <c r="BD11" s="3"/>
      <c r="BG11" s="3"/>
      <c r="BH11" s="3"/>
      <c r="BI11" s="3"/>
    </row>
    <row r="12" spans="1:61" ht="12.75">
      <c r="A12" s="6"/>
      <c r="B12" s="7"/>
      <c r="C12" s="693"/>
      <c r="D12" s="692"/>
      <c r="E12" s="603"/>
      <c r="F12" s="697" t="s">
        <v>307</v>
      </c>
      <c r="G12" s="697" t="s">
        <v>307</v>
      </c>
      <c r="H12" s="697" t="s">
        <v>307</v>
      </c>
      <c r="I12" s="698" t="s">
        <v>307</v>
      </c>
      <c r="J12" s="697" t="s">
        <v>307</v>
      </c>
      <c r="K12" s="697" t="s">
        <v>307</v>
      </c>
      <c r="L12" s="697" t="s">
        <v>307</v>
      </c>
      <c r="M12" s="698" t="s">
        <v>307</v>
      </c>
      <c r="N12" s="696" t="s">
        <v>307</v>
      </c>
      <c r="O12" s="697" t="s">
        <v>307</v>
      </c>
      <c r="P12" s="697" t="s">
        <v>307</v>
      </c>
      <c r="Q12" s="698" t="s">
        <v>307</v>
      </c>
      <c r="R12" s="696" t="s">
        <v>307</v>
      </c>
      <c r="S12" s="697" t="s">
        <v>307</v>
      </c>
      <c r="T12" s="697" t="s">
        <v>307</v>
      </c>
      <c r="U12" s="698" t="s">
        <v>307</v>
      </c>
      <c r="V12" s="696" t="s">
        <v>308</v>
      </c>
      <c r="W12" s="697" t="s">
        <v>308</v>
      </c>
      <c r="X12" s="697" t="s">
        <v>308</v>
      </c>
      <c r="Y12" s="698" t="s">
        <v>308</v>
      </c>
      <c r="Z12" s="15"/>
      <c r="AA12" s="15"/>
      <c r="AB12" s="15"/>
      <c r="AC12" s="233"/>
      <c r="AD12" s="15"/>
      <c r="AE12" s="15"/>
      <c r="AF12" s="15"/>
      <c r="AG12" s="15"/>
      <c r="AH12" s="259"/>
      <c r="AI12" s="233"/>
      <c r="AJ12" s="233"/>
      <c r="AK12" s="233"/>
      <c r="AL12" s="259"/>
      <c r="AM12" s="697" t="s">
        <v>307</v>
      </c>
      <c r="AN12" s="697" t="s">
        <v>307</v>
      </c>
      <c r="AO12" s="713"/>
      <c r="AP12" s="714"/>
      <c r="AQ12" s="16"/>
      <c r="AR12" s="696" t="s">
        <v>307</v>
      </c>
      <c r="AS12" s="696" t="s">
        <v>307</v>
      </c>
      <c r="AT12" s="696" t="s">
        <v>307</v>
      </c>
      <c r="AU12" s="696" t="s">
        <v>308</v>
      </c>
      <c r="AV12" s="696" t="s">
        <v>308</v>
      </c>
      <c r="AW12" s="696" t="s">
        <v>308</v>
      </c>
      <c r="AX12" s="699" t="s">
        <v>308</v>
      </c>
      <c r="AY12" s="259"/>
      <c r="AZ12" s="259"/>
      <c r="BA12" s="232"/>
      <c r="BB12" s="25"/>
      <c r="BC12" s="3"/>
      <c r="BD12" s="3"/>
      <c r="BG12" s="3"/>
      <c r="BH12" s="3"/>
      <c r="BI12" s="3"/>
    </row>
    <row r="13" spans="1:59" ht="12.75" customHeight="1">
      <c r="A13" s="142" t="s">
        <v>68</v>
      </c>
      <c r="B13" s="8"/>
      <c r="C13" s="164"/>
      <c r="D13" s="166"/>
      <c r="E13" s="89"/>
      <c r="F13" s="148"/>
      <c r="G13" s="148"/>
      <c r="H13" s="148"/>
      <c r="I13" s="166"/>
      <c r="J13" s="148"/>
      <c r="K13" s="148"/>
      <c r="L13" s="148"/>
      <c r="M13" s="166"/>
      <c r="N13" s="148"/>
      <c r="O13" s="148"/>
      <c r="P13" s="148"/>
      <c r="Q13" s="166"/>
      <c r="R13" s="148"/>
      <c r="S13" s="148"/>
      <c r="T13" s="148"/>
      <c r="U13" s="166"/>
      <c r="V13" s="148"/>
      <c r="W13" s="148"/>
      <c r="X13" s="148"/>
      <c r="Y13" s="166"/>
      <c r="Z13" s="148"/>
      <c r="AA13" s="148"/>
      <c r="AB13" s="148"/>
      <c r="AC13" s="166"/>
      <c r="AD13" s="195"/>
      <c r="AE13" s="195"/>
      <c r="AF13" s="195"/>
      <c r="AG13" s="165"/>
      <c r="AH13" s="194"/>
      <c r="AI13" s="165"/>
      <c r="AJ13" s="165"/>
      <c r="AK13" s="165"/>
      <c r="AL13" s="89"/>
      <c r="AM13" s="148"/>
      <c r="AN13" s="148"/>
      <c r="AO13" s="633"/>
      <c r="AP13" s="647"/>
      <c r="AQ13" s="83"/>
      <c r="AR13" s="646"/>
      <c r="AS13" s="646"/>
      <c r="AT13" s="646"/>
      <c r="AU13" s="89"/>
      <c r="AV13" s="194"/>
      <c r="AW13" s="148"/>
      <c r="AX13" s="89"/>
      <c r="AY13" s="360"/>
      <c r="AZ13" s="360"/>
      <c r="BA13" s="538"/>
      <c r="BB13" s="25"/>
      <c r="BC13" s="3"/>
      <c r="BD13" s="3"/>
      <c r="BG13" s="3"/>
    </row>
    <row r="14" spans="1:59" ht="12.75" customHeight="1">
      <c r="A14" s="142"/>
      <c r="B14" s="83" t="s">
        <v>219</v>
      </c>
      <c r="C14" s="242" t="e">
        <f>I14-M14</f>
        <v>#REF!</v>
      </c>
      <c r="D14" s="30" t="e">
        <f>IF(OR((C14/M14)&gt;3,(C14/M14)&lt;-3),"n.m.",(C14/M14))</f>
        <v>#REF!</v>
      </c>
      <c r="E14" s="89"/>
      <c r="F14" s="234" t="e">
        <f>+#REF!</f>
        <v>#REF!</v>
      </c>
      <c r="G14" s="234" t="e">
        <f>+#REF!</f>
        <v>#REF!</v>
      </c>
      <c r="H14" s="234" t="e">
        <f>+#REF!</f>
        <v>#REF!</v>
      </c>
      <c r="I14" s="238" t="e">
        <f>+#REF!</f>
        <v>#REF!</v>
      </c>
      <c r="J14" s="234" t="e">
        <f>+#REF!</f>
        <v>#REF!</v>
      </c>
      <c r="K14" s="234" t="e">
        <f>+#REF!</f>
        <v>#REF!</v>
      </c>
      <c r="L14" s="234" t="e">
        <f>+#REF!</f>
        <v>#REF!</v>
      </c>
      <c r="M14" s="238" t="e">
        <f>+#REF!</f>
        <v>#REF!</v>
      </c>
      <c r="N14" s="234">
        <v>18487</v>
      </c>
      <c r="O14" s="234" t="e">
        <f>#REF!</f>
        <v>#REF!</v>
      </c>
      <c r="P14" s="234" t="e">
        <f>#REF!</f>
        <v>#REF!</v>
      </c>
      <c r="Q14" s="238" t="e">
        <f>#REF!</f>
        <v>#REF!</v>
      </c>
      <c r="R14" s="234">
        <v>27712</v>
      </c>
      <c r="S14" s="234">
        <v>32618</v>
      </c>
      <c r="T14" s="234">
        <v>20083</v>
      </c>
      <c r="U14" s="238">
        <v>25806</v>
      </c>
      <c r="V14" s="234">
        <v>19380</v>
      </c>
      <c r="W14" s="234">
        <v>21984</v>
      </c>
      <c r="X14" s="234">
        <v>29595</v>
      </c>
      <c r="Y14" s="238">
        <v>26670</v>
      </c>
      <c r="Z14" s="234">
        <v>16696</v>
      </c>
      <c r="AA14" s="234">
        <v>16073</v>
      </c>
      <c r="AB14" s="234">
        <v>17456</v>
      </c>
      <c r="AC14" s="238">
        <v>24569</v>
      </c>
      <c r="AD14" s="234">
        <v>23292</v>
      </c>
      <c r="AE14" s="234">
        <v>22388</v>
      </c>
      <c r="AF14" s="234">
        <v>19827</v>
      </c>
      <c r="AG14" s="238">
        <v>25281</v>
      </c>
      <c r="AH14" s="201">
        <v>18686</v>
      </c>
      <c r="AI14" s="238">
        <v>17651</v>
      </c>
      <c r="AJ14" s="238">
        <v>17682</v>
      </c>
      <c r="AK14" s="238">
        <v>22625</v>
      </c>
      <c r="AL14" s="89"/>
      <c r="AM14" s="380" t="e">
        <f>SUM(K14:M14)</f>
        <v>#REF!</v>
      </c>
      <c r="AN14" s="380" t="e">
        <f>SUM(O14:Q14)</f>
        <v>#REF!</v>
      </c>
      <c r="AO14" s="254" t="e">
        <f>AR14-AS14</f>
        <v>#REF!</v>
      </c>
      <c r="AP14" s="30" t="e">
        <f>IF(OR((AO14/AS14)&gt;3,(AO14/AS14)&lt;-3),"n.m.",(AO14/AS14))</f>
        <v>#REF!</v>
      </c>
      <c r="AQ14" s="83"/>
      <c r="AR14" s="635" t="e">
        <f>SUM(J14:M14)</f>
        <v>#REF!</v>
      </c>
      <c r="AS14" s="635" t="e">
        <f>SUM(N14:Q14)</f>
        <v>#REF!</v>
      </c>
      <c r="AT14" s="635">
        <v>106219</v>
      </c>
      <c r="AU14" s="237">
        <v>97629</v>
      </c>
      <c r="AV14" s="201">
        <v>74794</v>
      </c>
      <c r="AW14" s="238">
        <v>90788</v>
      </c>
      <c r="AX14" s="238">
        <v>76644</v>
      </c>
      <c r="AY14" s="43">
        <v>18692</v>
      </c>
      <c r="AZ14" s="43">
        <v>0</v>
      </c>
      <c r="BA14" s="43">
        <v>0</v>
      </c>
      <c r="BB14" s="3"/>
      <c r="BC14" s="3"/>
      <c r="BD14" s="3"/>
      <c r="BG14" s="3"/>
    </row>
    <row r="15" spans="1:59" ht="12.75" customHeight="1">
      <c r="A15" s="142"/>
      <c r="B15" s="83" t="s">
        <v>413</v>
      </c>
      <c r="C15" s="242" t="e">
        <f>I15-M15</f>
        <v>#REF!</v>
      </c>
      <c r="D15" s="30" t="e">
        <f>IF(OR((C15/M15)&gt;3,(C15/M15)&lt;-3),"n.m.",(C15/M15))</f>
        <v>#REF!</v>
      </c>
      <c r="E15" s="89"/>
      <c r="F15" s="234" t="e">
        <f>+#REF!</f>
        <v>#REF!</v>
      </c>
      <c r="G15" s="234" t="e">
        <f>+#REF!</f>
        <v>#REF!</v>
      </c>
      <c r="H15" s="234" t="e">
        <f>+#REF!</f>
        <v>#REF!</v>
      </c>
      <c r="I15" s="238" t="e">
        <f>+#REF!</f>
        <v>#REF!</v>
      </c>
      <c r="J15" s="234" t="e">
        <f>+#REF!</f>
        <v>#REF!</v>
      </c>
      <c r="K15" s="234" t="e">
        <f>+#REF!</f>
        <v>#REF!</v>
      </c>
      <c r="L15" s="234" t="e">
        <f>+#REF!</f>
        <v>#REF!</v>
      </c>
      <c r="M15" s="238" t="e">
        <f>+#REF!</f>
        <v>#REF!</v>
      </c>
      <c r="N15" s="234" t="e">
        <f>#REF!</f>
        <v>#REF!</v>
      </c>
      <c r="O15" s="234" t="e">
        <f>#REF!</f>
        <v>#REF!</v>
      </c>
      <c r="P15" s="234" t="e">
        <f>#REF!</f>
        <v>#REF!</v>
      </c>
      <c r="Q15" s="238" t="e">
        <f>#REF!</f>
        <v>#REF!</v>
      </c>
      <c r="R15" s="234">
        <v>1486</v>
      </c>
      <c r="S15" s="234">
        <v>1555</v>
      </c>
      <c r="T15" s="234">
        <v>1010</v>
      </c>
      <c r="U15" s="238">
        <v>900</v>
      </c>
      <c r="V15" s="234">
        <v>904</v>
      </c>
      <c r="W15" s="234">
        <v>833</v>
      </c>
      <c r="X15" s="234">
        <v>542</v>
      </c>
      <c r="Y15" s="238">
        <v>509</v>
      </c>
      <c r="Z15" s="234">
        <v>516</v>
      </c>
      <c r="AA15" s="234">
        <v>460</v>
      </c>
      <c r="AB15" s="234">
        <v>828</v>
      </c>
      <c r="AC15" s="238">
        <v>1052</v>
      </c>
      <c r="AD15" s="234">
        <v>777</v>
      </c>
      <c r="AE15" s="234">
        <v>719</v>
      </c>
      <c r="AF15" s="234">
        <v>827</v>
      </c>
      <c r="AG15" s="238">
        <v>1093</v>
      </c>
      <c r="AH15" s="201">
        <v>1149</v>
      </c>
      <c r="AI15" s="238">
        <v>924</v>
      </c>
      <c r="AJ15" s="238">
        <v>666</v>
      </c>
      <c r="AK15" s="238">
        <v>1290</v>
      </c>
      <c r="AL15" s="89"/>
      <c r="AM15" s="380" t="e">
        <f>SUM(K15:M15)</f>
        <v>#REF!</v>
      </c>
      <c r="AN15" s="380" t="e">
        <f>SUM(O15:Q15)</f>
        <v>#REF!</v>
      </c>
      <c r="AO15" s="254" t="e">
        <f>AR15-AS15</f>
        <v>#REF!</v>
      </c>
      <c r="AP15" s="30" t="e">
        <f>AO15/AS15</f>
        <v>#REF!</v>
      </c>
      <c r="AQ15" s="83"/>
      <c r="AR15" s="635" t="e">
        <f>SUM(J15:M15)</f>
        <v>#REF!</v>
      </c>
      <c r="AS15" s="635" t="e">
        <f>SUM(N15:Q15)</f>
        <v>#REF!</v>
      </c>
      <c r="AT15" s="635">
        <v>4951</v>
      </c>
      <c r="AU15" s="237">
        <v>2788</v>
      </c>
      <c r="AV15" s="201">
        <v>2856</v>
      </c>
      <c r="AW15" s="238">
        <v>3416</v>
      </c>
      <c r="AX15" s="238">
        <v>4029</v>
      </c>
      <c r="AY15" s="43">
        <v>1269</v>
      </c>
      <c r="AZ15" s="43">
        <v>0</v>
      </c>
      <c r="BA15" s="43">
        <v>0</v>
      </c>
      <c r="BB15" s="3"/>
      <c r="BC15" s="3"/>
      <c r="BD15" s="3"/>
      <c r="BG15" s="3"/>
    </row>
    <row r="16" spans="1:59" ht="12.75" customHeight="1" hidden="1">
      <c r="A16" s="7"/>
      <c r="B16" s="83" t="s">
        <v>103</v>
      </c>
      <c r="C16" s="242">
        <f>I16-M16</f>
        <v>0</v>
      </c>
      <c r="D16" s="30" t="e">
        <f>IF(OR((C16/M16)&gt;3,(C16/M16)&lt;-3),"n.m.",(C16/M16))</f>
        <v>#DIV/0!</v>
      </c>
      <c r="E16" s="592"/>
      <c r="F16" s="234"/>
      <c r="G16" s="234"/>
      <c r="H16" s="234"/>
      <c r="I16" s="238"/>
      <c r="J16" s="234"/>
      <c r="K16" s="234"/>
      <c r="L16" s="234"/>
      <c r="M16" s="238"/>
      <c r="N16" s="234"/>
      <c r="O16" s="234"/>
      <c r="P16" s="234"/>
      <c r="Q16" s="238"/>
      <c r="R16" s="234"/>
      <c r="S16" s="234"/>
      <c r="T16" s="234"/>
      <c r="U16" s="238"/>
      <c r="V16" s="234"/>
      <c r="W16" s="234"/>
      <c r="X16" s="234"/>
      <c r="Y16" s="238"/>
      <c r="Z16" s="234">
        <v>10</v>
      </c>
      <c r="AA16" s="234">
        <v>53</v>
      </c>
      <c r="AB16" s="234">
        <v>25</v>
      </c>
      <c r="AC16" s="238">
        <v>20</v>
      </c>
      <c r="AD16" s="234">
        <v>27</v>
      </c>
      <c r="AE16" s="234">
        <v>28</v>
      </c>
      <c r="AF16" s="234">
        <v>83</v>
      </c>
      <c r="AG16" s="238">
        <v>48</v>
      </c>
      <c r="AH16" s="201">
        <v>81</v>
      </c>
      <c r="AI16" s="238">
        <v>38</v>
      </c>
      <c r="AJ16" s="238">
        <v>397</v>
      </c>
      <c r="AK16" s="238">
        <v>70</v>
      </c>
      <c r="AL16" s="203"/>
      <c r="AM16" s="243"/>
      <c r="AN16" s="243"/>
      <c r="AO16" s="254">
        <f>AR16-AS16</f>
        <v>0</v>
      </c>
      <c r="AP16" s="30" t="e">
        <f>AO16/AS16</f>
        <v>#DIV/0!</v>
      </c>
      <c r="AQ16" s="245"/>
      <c r="AR16" s="635"/>
      <c r="AS16" s="635"/>
      <c r="AT16" s="635">
        <v>0</v>
      </c>
      <c r="AU16" s="237">
        <v>0</v>
      </c>
      <c r="AV16" s="201">
        <v>108</v>
      </c>
      <c r="AW16" s="238">
        <v>186</v>
      </c>
      <c r="AX16" s="238">
        <v>586</v>
      </c>
      <c r="AY16" s="43">
        <v>75</v>
      </c>
      <c r="AZ16" s="43">
        <v>0</v>
      </c>
      <c r="BA16" s="43">
        <v>0</v>
      </c>
      <c r="BB16" s="3"/>
      <c r="BC16" s="3"/>
      <c r="BD16" s="3"/>
      <c r="BG16" s="3"/>
    </row>
    <row r="17" spans="1:59" ht="12.75" customHeight="1">
      <c r="A17" s="8"/>
      <c r="B17" s="7"/>
      <c r="C17" s="246" t="e">
        <f>I17-M17</f>
        <v>#REF!</v>
      </c>
      <c r="D17" s="170" t="e">
        <f>IF(OR((C17/M17)&gt;3,(C17/M17)&lt;-3),"n.m.",(C17/M17))</f>
        <v>#REF!</v>
      </c>
      <c r="E17" s="592"/>
      <c r="F17" s="248" t="e">
        <f aca="true" t="shared" si="0" ref="F17:M17">SUM(F14:F16)</f>
        <v>#REF!</v>
      </c>
      <c r="G17" s="248" t="e">
        <f t="shared" si="0"/>
        <v>#REF!</v>
      </c>
      <c r="H17" s="248" t="e">
        <f t="shared" si="0"/>
        <v>#REF!</v>
      </c>
      <c r="I17" s="249" t="e">
        <f t="shared" si="0"/>
        <v>#REF!</v>
      </c>
      <c r="J17" s="248" t="e">
        <f t="shared" si="0"/>
        <v>#REF!</v>
      </c>
      <c r="K17" s="248" t="e">
        <f t="shared" si="0"/>
        <v>#REF!</v>
      </c>
      <c r="L17" s="248" t="e">
        <f t="shared" si="0"/>
        <v>#REF!</v>
      </c>
      <c r="M17" s="249" t="e">
        <f t="shared" si="0"/>
        <v>#REF!</v>
      </c>
      <c r="N17" s="248" t="e">
        <f>SUM(N14:N15)</f>
        <v>#REF!</v>
      </c>
      <c r="O17" s="248" t="e">
        <f aca="true" t="shared" si="1" ref="O17:U17">SUM(O14:O16)</f>
        <v>#REF!</v>
      </c>
      <c r="P17" s="248" t="e">
        <f t="shared" si="1"/>
        <v>#REF!</v>
      </c>
      <c r="Q17" s="249" t="e">
        <f t="shared" si="1"/>
        <v>#REF!</v>
      </c>
      <c r="R17" s="248">
        <f t="shared" si="1"/>
        <v>29198</v>
      </c>
      <c r="S17" s="248">
        <f t="shared" si="1"/>
        <v>34173</v>
      </c>
      <c r="T17" s="248">
        <f t="shared" si="1"/>
        <v>21093</v>
      </c>
      <c r="U17" s="249">
        <f t="shared" si="1"/>
        <v>26706</v>
      </c>
      <c r="V17" s="248">
        <v>20284</v>
      </c>
      <c r="W17" s="248">
        <v>22817</v>
      </c>
      <c r="X17" s="248">
        <v>30137</v>
      </c>
      <c r="Y17" s="249">
        <v>27179</v>
      </c>
      <c r="Z17" s="248">
        <v>17212</v>
      </c>
      <c r="AA17" s="248">
        <v>16533</v>
      </c>
      <c r="AB17" s="248">
        <v>18284</v>
      </c>
      <c r="AC17" s="248">
        <v>25621</v>
      </c>
      <c r="AD17" s="247">
        <v>24069</v>
      </c>
      <c r="AE17" s="248">
        <v>23107</v>
      </c>
      <c r="AF17" s="248">
        <v>20654</v>
      </c>
      <c r="AG17" s="248">
        <v>26374</v>
      </c>
      <c r="AH17" s="247">
        <v>19835</v>
      </c>
      <c r="AI17" s="249">
        <v>18613</v>
      </c>
      <c r="AJ17" s="249">
        <v>18745</v>
      </c>
      <c r="AK17" s="249">
        <v>23985</v>
      </c>
      <c r="AL17" s="203"/>
      <c r="AM17" s="248" t="e">
        <f>SUM(AM14:AM16)</f>
        <v>#REF!</v>
      </c>
      <c r="AN17" s="248" t="e">
        <f>SUM(AN14:AN16)</f>
        <v>#REF!</v>
      </c>
      <c r="AO17" s="248" t="e">
        <f>AR17-AS17</f>
        <v>#REF!</v>
      </c>
      <c r="AP17" s="170" t="e">
        <f>AO17/AS17</f>
        <v>#REF!</v>
      </c>
      <c r="AQ17" s="245"/>
      <c r="AR17" s="637" t="e">
        <f>SUM(AR14:AR15)</f>
        <v>#REF!</v>
      </c>
      <c r="AS17" s="637" t="e">
        <f>SUM(AS14:AS15)</f>
        <v>#REF!</v>
      </c>
      <c r="AT17" s="637">
        <v>111170</v>
      </c>
      <c r="AU17" s="247">
        <v>100417</v>
      </c>
      <c r="AV17" s="202">
        <v>77650</v>
      </c>
      <c r="AW17" s="248">
        <v>94204</v>
      </c>
      <c r="AX17" s="247">
        <v>80673</v>
      </c>
      <c r="AY17" s="202">
        <f>SUM(AY14:AY15)</f>
        <v>19961</v>
      </c>
      <c r="AZ17" s="355">
        <v>0</v>
      </c>
      <c r="BA17" s="355">
        <v>0</v>
      </c>
      <c r="BB17" s="25"/>
      <c r="BC17" s="3"/>
      <c r="BD17" s="3"/>
      <c r="BG17" s="3"/>
    </row>
    <row r="18" spans="1:59" ht="12.75" customHeight="1">
      <c r="A18" s="142" t="s">
        <v>5</v>
      </c>
      <c r="B18" s="7"/>
      <c r="C18" s="242"/>
      <c r="D18" s="30"/>
      <c r="E18" s="592"/>
      <c r="F18" s="234"/>
      <c r="G18" s="234"/>
      <c r="H18" s="234"/>
      <c r="I18" s="238"/>
      <c r="J18" s="234"/>
      <c r="K18" s="234"/>
      <c r="L18" s="234"/>
      <c r="M18" s="238"/>
      <c r="N18" s="234"/>
      <c r="O18" s="234"/>
      <c r="P18" s="234"/>
      <c r="Q18" s="238"/>
      <c r="R18" s="234"/>
      <c r="S18" s="234"/>
      <c r="T18" s="234"/>
      <c r="U18" s="238"/>
      <c r="V18" s="234"/>
      <c r="W18" s="234"/>
      <c r="X18" s="234"/>
      <c r="Y18" s="238"/>
      <c r="Z18" s="234"/>
      <c r="AA18" s="234"/>
      <c r="AB18" s="234"/>
      <c r="AC18" s="238"/>
      <c r="AD18" s="234"/>
      <c r="AE18" s="234"/>
      <c r="AF18" s="234"/>
      <c r="AG18" s="238"/>
      <c r="AH18" s="201"/>
      <c r="AI18" s="238"/>
      <c r="AJ18" s="238"/>
      <c r="AK18" s="238"/>
      <c r="AL18" s="203"/>
      <c r="AM18" s="243"/>
      <c r="AN18" s="243"/>
      <c r="AO18" s="254"/>
      <c r="AP18" s="30"/>
      <c r="AQ18" s="245"/>
      <c r="AR18" s="635"/>
      <c r="AS18" s="635"/>
      <c r="AT18" s="635"/>
      <c r="AU18" s="237"/>
      <c r="AV18" s="201"/>
      <c r="AW18" s="238"/>
      <c r="AX18" s="238"/>
      <c r="AY18" s="43"/>
      <c r="AZ18" s="43"/>
      <c r="BA18" s="43"/>
      <c r="BB18" s="3"/>
      <c r="BC18" s="3"/>
      <c r="BD18" s="3"/>
      <c r="BG18" s="3"/>
    </row>
    <row r="19" spans="1:59" ht="12.75" customHeight="1">
      <c r="A19" s="142"/>
      <c r="B19" s="7" t="s">
        <v>399</v>
      </c>
      <c r="C19" s="242">
        <f aca="true" t="shared" si="2" ref="C19:C39">I19-M19</f>
        <v>7177</v>
      </c>
      <c r="D19" s="30">
        <f aca="true" t="shared" si="3" ref="D19:D30">IF(OR((C19/M19)&gt;3,(C19/M19)&lt;-3),"n.m.",(C19/M19))</f>
        <v>0.3908189936832934</v>
      </c>
      <c r="E19" s="592"/>
      <c r="F19" s="234"/>
      <c r="G19" s="234"/>
      <c r="H19" s="234"/>
      <c r="I19" s="238">
        <v>25541</v>
      </c>
      <c r="J19" s="234">
        <v>23698</v>
      </c>
      <c r="K19" s="234">
        <v>18976</v>
      </c>
      <c r="L19" s="234">
        <v>19839</v>
      </c>
      <c r="M19" s="238">
        <v>18364</v>
      </c>
      <c r="N19" s="234">
        <v>12319</v>
      </c>
      <c r="O19" s="234">
        <v>8587</v>
      </c>
      <c r="P19" s="234">
        <v>9084</v>
      </c>
      <c r="Q19" s="238">
        <v>13578</v>
      </c>
      <c r="R19" s="234">
        <v>15037</v>
      </c>
      <c r="S19" s="234">
        <v>18002</v>
      </c>
      <c r="T19" s="234">
        <v>10237</v>
      </c>
      <c r="U19" s="238"/>
      <c r="V19" s="234"/>
      <c r="W19" s="234"/>
      <c r="X19" s="234"/>
      <c r="Y19" s="238"/>
      <c r="Z19" s="234"/>
      <c r="AA19" s="234"/>
      <c r="AB19" s="234"/>
      <c r="AC19" s="238"/>
      <c r="AD19" s="234"/>
      <c r="AE19" s="234"/>
      <c r="AF19" s="234"/>
      <c r="AG19" s="238"/>
      <c r="AH19" s="201"/>
      <c r="AI19" s="238"/>
      <c r="AJ19" s="238"/>
      <c r="AK19" s="238"/>
      <c r="AL19" s="203"/>
      <c r="AM19" s="380">
        <f aca="true" t="shared" si="4" ref="AM19:AM33">SUM(K19:M19)</f>
        <v>57179</v>
      </c>
      <c r="AN19" s="380">
        <f aca="true" t="shared" si="5" ref="AN19:AN33">SUM(O19:Q19)</f>
        <v>31249</v>
      </c>
      <c r="AO19" s="254">
        <f aca="true" t="shared" si="6" ref="AO19:AO35">AR19-AS19</f>
        <v>37309</v>
      </c>
      <c r="AP19" s="30">
        <f aca="true" t="shared" si="7" ref="AP19:AP26">AO19/AS19</f>
        <v>0.8563395152405435</v>
      </c>
      <c r="AQ19" s="245"/>
      <c r="AR19" s="635">
        <f>SUM(J19:M19)</f>
        <v>80877</v>
      </c>
      <c r="AS19" s="635">
        <v>43568</v>
      </c>
      <c r="AT19" s="635">
        <v>56785</v>
      </c>
      <c r="AU19" s="237">
        <v>54488</v>
      </c>
      <c r="AV19" s="201">
        <v>35876</v>
      </c>
      <c r="AW19" s="238">
        <v>49543</v>
      </c>
      <c r="AX19" s="238"/>
      <c r="AY19" s="43"/>
      <c r="AZ19" s="43"/>
      <c r="BA19" s="43"/>
      <c r="BB19" s="3"/>
      <c r="BC19" s="3"/>
      <c r="BD19" s="3"/>
      <c r="BG19" s="3"/>
    </row>
    <row r="20" spans="1:59" ht="12.75" customHeight="1">
      <c r="A20" s="142"/>
      <c r="B20" s="7" t="s">
        <v>400</v>
      </c>
      <c r="C20" s="250">
        <f t="shared" si="2"/>
        <v>-79</v>
      </c>
      <c r="D20" s="149">
        <f t="shared" si="3"/>
        <v>-0.08540540540540541</v>
      </c>
      <c r="E20" s="592"/>
      <c r="F20" s="240"/>
      <c r="G20" s="240"/>
      <c r="H20" s="240"/>
      <c r="I20" s="241">
        <v>846</v>
      </c>
      <c r="J20" s="240">
        <v>803</v>
      </c>
      <c r="K20" s="240">
        <v>207</v>
      </c>
      <c r="L20" s="240">
        <v>506</v>
      </c>
      <c r="M20" s="241">
        <v>925</v>
      </c>
      <c r="N20" s="240">
        <v>1237</v>
      </c>
      <c r="O20" s="240">
        <v>1164</v>
      </c>
      <c r="P20" s="240">
        <v>942</v>
      </c>
      <c r="Q20" s="241">
        <v>1100</v>
      </c>
      <c r="R20" s="240">
        <v>327</v>
      </c>
      <c r="S20" s="240">
        <v>390</v>
      </c>
      <c r="T20" s="240">
        <v>1291</v>
      </c>
      <c r="U20" s="238"/>
      <c r="V20" s="234"/>
      <c r="W20" s="234"/>
      <c r="X20" s="234"/>
      <c r="Y20" s="238"/>
      <c r="Z20" s="234"/>
      <c r="AA20" s="234"/>
      <c r="AB20" s="234"/>
      <c r="AC20" s="238"/>
      <c r="AD20" s="234"/>
      <c r="AE20" s="234"/>
      <c r="AF20" s="234"/>
      <c r="AG20" s="238"/>
      <c r="AH20" s="201"/>
      <c r="AI20" s="238"/>
      <c r="AJ20" s="238"/>
      <c r="AK20" s="238"/>
      <c r="AL20" s="203"/>
      <c r="AM20" s="388">
        <f t="shared" si="4"/>
        <v>1638</v>
      </c>
      <c r="AN20" s="388">
        <f t="shared" si="5"/>
        <v>3206</v>
      </c>
      <c r="AO20" s="385">
        <f t="shared" si="6"/>
        <v>-2002</v>
      </c>
      <c r="AP20" s="149">
        <f t="shared" si="7"/>
        <v>-0.4505964438442494</v>
      </c>
      <c r="AQ20" s="245"/>
      <c r="AR20" s="636">
        <f>SUM(J20:M20)</f>
        <v>2441</v>
      </c>
      <c r="AS20" s="636">
        <v>4443</v>
      </c>
      <c r="AT20" s="636">
        <v>2859</v>
      </c>
      <c r="AU20" s="239">
        <v>585</v>
      </c>
      <c r="AV20" s="207">
        <v>151</v>
      </c>
      <c r="AW20" s="241">
        <v>-803</v>
      </c>
      <c r="AX20" s="238"/>
      <c r="AY20" s="43"/>
      <c r="AZ20" s="43"/>
      <c r="BA20" s="43"/>
      <c r="BB20" s="3"/>
      <c r="BC20" s="3"/>
      <c r="BD20" s="3"/>
      <c r="BG20" s="3"/>
    </row>
    <row r="21" spans="1:59" ht="12.75" customHeight="1">
      <c r="A21" s="8"/>
      <c r="B21" s="83" t="s">
        <v>260</v>
      </c>
      <c r="C21" s="242">
        <f t="shared" si="2"/>
        <v>7098</v>
      </c>
      <c r="D21" s="30">
        <f t="shared" si="3"/>
        <v>0.36798175125719323</v>
      </c>
      <c r="E21" s="592"/>
      <c r="F21" s="234">
        <f aca="true" t="shared" si="8" ref="F21:K21">SUM(F19:F20)</f>
        <v>0</v>
      </c>
      <c r="G21" s="234">
        <f t="shared" si="8"/>
        <v>0</v>
      </c>
      <c r="H21" s="234">
        <f t="shared" si="8"/>
        <v>0</v>
      </c>
      <c r="I21" s="238">
        <f t="shared" si="8"/>
        <v>26387</v>
      </c>
      <c r="J21" s="234">
        <f t="shared" si="8"/>
        <v>24501</v>
      </c>
      <c r="K21" s="234">
        <f t="shared" si="8"/>
        <v>19183</v>
      </c>
      <c r="L21" s="234">
        <v>20345</v>
      </c>
      <c r="M21" s="238">
        <v>19289</v>
      </c>
      <c r="N21" s="234">
        <v>13556</v>
      </c>
      <c r="O21" s="234">
        <v>9751</v>
      </c>
      <c r="P21" s="234">
        <v>10026</v>
      </c>
      <c r="Q21" s="238">
        <v>14678</v>
      </c>
      <c r="R21" s="234">
        <v>15364</v>
      </c>
      <c r="S21" s="234">
        <v>18392</v>
      </c>
      <c r="T21" s="234">
        <v>11528</v>
      </c>
      <c r="U21" s="238">
        <v>14360</v>
      </c>
      <c r="V21" s="234">
        <v>11389</v>
      </c>
      <c r="W21" s="234">
        <v>13270</v>
      </c>
      <c r="X21" s="234">
        <v>16681</v>
      </c>
      <c r="Y21" s="238">
        <v>13733</v>
      </c>
      <c r="Z21" s="234">
        <v>8513</v>
      </c>
      <c r="AA21" s="234">
        <v>8108</v>
      </c>
      <c r="AB21" s="234">
        <v>8420</v>
      </c>
      <c r="AC21" s="238">
        <v>10986</v>
      </c>
      <c r="AD21" s="234">
        <v>14475</v>
      </c>
      <c r="AE21" s="234">
        <v>12378</v>
      </c>
      <c r="AF21" s="234">
        <v>9511</v>
      </c>
      <c r="AG21" s="238">
        <v>12376</v>
      </c>
      <c r="AH21" s="201">
        <v>10496</v>
      </c>
      <c r="AI21" s="238">
        <v>9820</v>
      </c>
      <c r="AJ21" s="238">
        <v>9342</v>
      </c>
      <c r="AK21" s="238">
        <v>12902</v>
      </c>
      <c r="AL21" s="203"/>
      <c r="AM21" s="380">
        <f t="shared" si="4"/>
        <v>58817</v>
      </c>
      <c r="AN21" s="380">
        <f t="shared" si="5"/>
        <v>34455</v>
      </c>
      <c r="AO21" s="254">
        <f t="shared" si="6"/>
        <v>35307</v>
      </c>
      <c r="AP21" s="30">
        <f t="shared" si="7"/>
        <v>0.7353939722147008</v>
      </c>
      <c r="AQ21" s="245"/>
      <c r="AR21" s="635">
        <f>SUM(AR19:AR20)</f>
        <v>83318</v>
      </c>
      <c r="AS21" s="635">
        <f aca="true" t="shared" si="9" ref="AS21:AS33">SUM(N21:Q21)</f>
        <v>48011</v>
      </c>
      <c r="AT21" s="635">
        <f>SUM(R21:U21)</f>
        <v>59644</v>
      </c>
      <c r="AU21" s="237">
        <v>55073</v>
      </c>
      <c r="AV21" s="201">
        <v>36027</v>
      </c>
      <c r="AW21" s="238">
        <v>48740</v>
      </c>
      <c r="AX21" s="238">
        <v>42560</v>
      </c>
      <c r="AY21" s="43">
        <v>9134</v>
      </c>
      <c r="AZ21" s="43">
        <v>0</v>
      </c>
      <c r="BA21" s="43">
        <v>0</v>
      </c>
      <c r="BB21" s="3"/>
      <c r="BC21" s="3"/>
      <c r="BD21" s="3"/>
      <c r="BG21" s="3"/>
    </row>
    <row r="22" spans="1:59" ht="12.75" customHeight="1">
      <c r="A22" s="8"/>
      <c r="B22" s="83" t="s">
        <v>74</v>
      </c>
      <c r="C22" s="242">
        <f t="shared" si="2"/>
        <v>-186</v>
      </c>
      <c r="D22" s="30">
        <f t="shared" si="3"/>
        <v>-0.07254290171606864</v>
      </c>
      <c r="E22" s="592"/>
      <c r="F22" s="234"/>
      <c r="G22" s="234"/>
      <c r="H22" s="234"/>
      <c r="I22" s="238">
        <v>2378</v>
      </c>
      <c r="J22" s="234">
        <v>3061</v>
      </c>
      <c r="K22" s="234">
        <v>2093</v>
      </c>
      <c r="L22" s="234">
        <v>2346</v>
      </c>
      <c r="M22" s="238">
        <v>2564</v>
      </c>
      <c r="N22" s="234">
        <v>1303</v>
      </c>
      <c r="O22" s="234">
        <f>1457-408</f>
        <v>1049</v>
      </c>
      <c r="P22" s="234">
        <v>1128</v>
      </c>
      <c r="Q22" s="238">
        <v>1092</v>
      </c>
      <c r="R22" s="234">
        <v>1169</v>
      </c>
      <c r="S22" s="234">
        <v>1250</v>
      </c>
      <c r="T22" s="234">
        <v>1315</v>
      </c>
      <c r="U22" s="238">
        <v>1187</v>
      </c>
      <c r="V22" s="234">
        <v>952</v>
      </c>
      <c r="W22" s="234">
        <v>1190</v>
      </c>
      <c r="X22" s="234">
        <v>1119</v>
      </c>
      <c r="Y22" s="238">
        <v>1085</v>
      </c>
      <c r="Z22" s="234">
        <v>1198</v>
      </c>
      <c r="AA22" s="234">
        <v>1224</v>
      </c>
      <c r="AB22" s="234">
        <v>1226</v>
      </c>
      <c r="AC22" s="238">
        <v>1513</v>
      </c>
      <c r="AD22" s="234">
        <v>980</v>
      </c>
      <c r="AE22" s="234">
        <v>1018</v>
      </c>
      <c r="AF22" s="234">
        <v>1257</v>
      </c>
      <c r="AG22" s="238">
        <v>1228</v>
      </c>
      <c r="AH22" s="201">
        <v>1329</v>
      </c>
      <c r="AI22" s="238">
        <v>1212</v>
      </c>
      <c r="AJ22" s="238">
        <v>815</v>
      </c>
      <c r="AK22" s="238">
        <v>1754</v>
      </c>
      <c r="AL22" s="203"/>
      <c r="AM22" s="380">
        <f t="shared" si="4"/>
        <v>7003</v>
      </c>
      <c r="AN22" s="380">
        <f t="shared" si="5"/>
        <v>3269</v>
      </c>
      <c r="AO22" s="254">
        <f t="shared" si="6"/>
        <v>5492</v>
      </c>
      <c r="AP22" s="30">
        <f t="shared" si="7"/>
        <v>1.2012248468941382</v>
      </c>
      <c r="AQ22" s="243"/>
      <c r="AR22" s="635">
        <f aca="true" t="shared" si="10" ref="AR22:AR33">SUM(J22:M22)</f>
        <v>10064</v>
      </c>
      <c r="AS22" s="635">
        <f t="shared" si="9"/>
        <v>4572</v>
      </c>
      <c r="AT22" s="635">
        <f aca="true" t="shared" si="11" ref="AT22:AT30">SUM(R22:U22)</f>
        <v>4921</v>
      </c>
      <c r="AU22" s="237">
        <v>4346</v>
      </c>
      <c r="AV22" s="201">
        <v>5161</v>
      </c>
      <c r="AW22" s="238">
        <v>4483</v>
      </c>
      <c r="AX22" s="238">
        <v>5110</v>
      </c>
      <c r="AY22" s="43">
        <v>1613</v>
      </c>
      <c r="AZ22" s="43">
        <v>0</v>
      </c>
      <c r="BA22" s="43">
        <v>0</v>
      </c>
      <c r="BB22" s="3"/>
      <c r="BC22" s="3"/>
      <c r="BD22" s="3"/>
      <c r="BG22" s="3"/>
    </row>
    <row r="23" spans="1:59" ht="12.75" customHeight="1" hidden="1">
      <c r="A23" s="8"/>
      <c r="B23" s="7" t="s">
        <v>231</v>
      </c>
      <c r="C23" s="242">
        <f t="shared" si="2"/>
        <v>0</v>
      </c>
      <c r="D23" s="30" t="e">
        <f t="shared" si="3"/>
        <v>#DIV/0!</v>
      </c>
      <c r="E23" s="592"/>
      <c r="F23" s="31"/>
      <c r="G23" s="31"/>
      <c r="H23" s="31"/>
      <c r="I23" s="28"/>
      <c r="J23" s="31"/>
      <c r="K23" s="31"/>
      <c r="L23" s="31"/>
      <c r="M23" s="28"/>
      <c r="N23" s="31"/>
      <c r="O23" s="31"/>
      <c r="P23" s="31"/>
      <c r="Q23" s="28"/>
      <c r="R23" s="31"/>
      <c r="S23" s="31"/>
      <c r="T23" s="31"/>
      <c r="U23" s="28"/>
      <c r="V23" s="31">
        <v>0</v>
      </c>
      <c r="W23" s="31">
        <v>0</v>
      </c>
      <c r="X23" s="31">
        <v>0</v>
      </c>
      <c r="Y23" s="28">
        <v>0</v>
      </c>
      <c r="Z23" s="31">
        <v>0</v>
      </c>
      <c r="AA23" s="31">
        <v>0</v>
      </c>
      <c r="AB23" s="31">
        <v>0</v>
      </c>
      <c r="AC23" s="28">
        <v>0</v>
      </c>
      <c r="AD23" s="234"/>
      <c r="AE23" s="234"/>
      <c r="AF23" s="234"/>
      <c r="AG23" s="238"/>
      <c r="AH23" s="201"/>
      <c r="AI23" s="238"/>
      <c r="AJ23" s="238"/>
      <c r="AK23" s="238"/>
      <c r="AL23" s="203"/>
      <c r="AM23" s="380">
        <f t="shared" si="4"/>
        <v>0</v>
      </c>
      <c r="AN23" s="380">
        <f t="shared" si="5"/>
        <v>0</v>
      </c>
      <c r="AO23" s="254">
        <f t="shared" si="6"/>
        <v>0</v>
      </c>
      <c r="AP23" s="30" t="e">
        <f t="shared" si="7"/>
        <v>#DIV/0!</v>
      </c>
      <c r="AQ23" s="243"/>
      <c r="AR23" s="635">
        <f t="shared" si="10"/>
        <v>0</v>
      </c>
      <c r="AS23" s="635">
        <f t="shared" si="9"/>
        <v>0</v>
      </c>
      <c r="AT23" s="635">
        <f t="shared" si="11"/>
        <v>0</v>
      </c>
      <c r="AU23" s="43">
        <v>0</v>
      </c>
      <c r="AV23" s="43">
        <v>0</v>
      </c>
      <c r="AW23" s="28">
        <v>0</v>
      </c>
      <c r="AX23" s="43">
        <v>0</v>
      </c>
      <c r="AY23" s="43">
        <v>0</v>
      </c>
      <c r="AZ23" s="43"/>
      <c r="BA23" s="43"/>
      <c r="BB23" s="3"/>
      <c r="BC23" s="3"/>
      <c r="BD23" s="3"/>
      <c r="BG23" s="3"/>
    </row>
    <row r="24" spans="1:59" ht="12.75" customHeight="1">
      <c r="A24" s="8"/>
      <c r="B24" s="83" t="s">
        <v>104</v>
      </c>
      <c r="C24" s="242">
        <f t="shared" si="2"/>
        <v>159</v>
      </c>
      <c r="D24" s="30">
        <f t="shared" si="3"/>
        <v>0.027642559109874825</v>
      </c>
      <c r="E24" s="592"/>
      <c r="F24" s="234"/>
      <c r="G24" s="234"/>
      <c r="H24" s="234"/>
      <c r="I24" s="238">
        <v>5911</v>
      </c>
      <c r="J24" s="234">
        <v>4004</v>
      </c>
      <c r="K24" s="234">
        <v>3742</v>
      </c>
      <c r="L24" s="234">
        <v>4472</v>
      </c>
      <c r="M24" s="238">
        <v>5752</v>
      </c>
      <c r="N24" s="234">
        <v>583</v>
      </c>
      <c r="O24" s="234">
        <v>1133</v>
      </c>
      <c r="P24" s="234">
        <v>1609</v>
      </c>
      <c r="Q24" s="238">
        <v>1135</v>
      </c>
      <c r="R24" s="234">
        <v>1024</v>
      </c>
      <c r="S24" s="234">
        <v>963</v>
      </c>
      <c r="T24" s="234">
        <v>1025</v>
      </c>
      <c r="U24" s="238">
        <v>1102</v>
      </c>
      <c r="V24" s="234">
        <v>1490</v>
      </c>
      <c r="W24" s="234">
        <v>1581</v>
      </c>
      <c r="X24" s="234">
        <v>1493</v>
      </c>
      <c r="Y24" s="238">
        <v>2002</v>
      </c>
      <c r="Z24" s="234">
        <v>1887</v>
      </c>
      <c r="AA24" s="234">
        <v>1909</v>
      </c>
      <c r="AB24" s="234">
        <v>2613</v>
      </c>
      <c r="AC24" s="238">
        <v>2363</v>
      </c>
      <c r="AD24" s="234">
        <v>1899</v>
      </c>
      <c r="AE24" s="234">
        <v>2030</v>
      </c>
      <c r="AF24" s="234">
        <v>2443</v>
      </c>
      <c r="AG24" s="238">
        <v>2277</v>
      </c>
      <c r="AH24" s="201">
        <v>2198</v>
      </c>
      <c r="AI24" s="238">
        <v>2557</v>
      </c>
      <c r="AJ24" s="238">
        <v>1957</v>
      </c>
      <c r="AK24" s="238">
        <v>2280</v>
      </c>
      <c r="AL24" s="203"/>
      <c r="AM24" s="380">
        <f t="shared" si="4"/>
        <v>13966</v>
      </c>
      <c r="AN24" s="380">
        <f t="shared" si="5"/>
        <v>3877</v>
      </c>
      <c r="AO24" s="254">
        <f t="shared" si="6"/>
        <v>13510</v>
      </c>
      <c r="AP24" s="30">
        <f t="shared" si="7"/>
        <v>3.0291479820627805</v>
      </c>
      <c r="AQ24" s="245"/>
      <c r="AR24" s="635">
        <f t="shared" si="10"/>
        <v>17970</v>
      </c>
      <c r="AS24" s="635">
        <f t="shared" si="9"/>
        <v>4460</v>
      </c>
      <c r="AT24" s="635">
        <f t="shared" si="11"/>
        <v>4114</v>
      </c>
      <c r="AU24" s="237">
        <v>6566</v>
      </c>
      <c r="AV24" s="201">
        <v>8772</v>
      </c>
      <c r="AW24" s="238">
        <v>8649</v>
      </c>
      <c r="AX24" s="238">
        <v>8992</v>
      </c>
      <c r="AY24" s="43">
        <v>2026</v>
      </c>
      <c r="AZ24" s="43">
        <v>0</v>
      </c>
      <c r="BA24" s="43">
        <v>0</v>
      </c>
      <c r="BB24" s="3"/>
      <c r="BC24" s="3"/>
      <c r="BD24" s="3"/>
      <c r="BG24" s="3"/>
    </row>
    <row r="25" spans="1:59" ht="12.75" customHeight="1">
      <c r="A25" s="8"/>
      <c r="B25" s="83" t="s">
        <v>76</v>
      </c>
      <c r="C25" s="242">
        <f t="shared" si="2"/>
        <v>-294</v>
      </c>
      <c r="D25" s="30">
        <f t="shared" si="3"/>
        <v>-0.12991604065399912</v>
      </c>
      <c r="E25" s="592"/>
      <c r="F25" s="234"/>
      <c r="G25" s="234"/>
      <c r="H25" s="234"/>
      <c r="I25" s="238">
        <v>1969</v>
      </c>
      <c r="J25" s="234">
        <v>1846</v>
      </c>
      <c r="K25" s="234">
        <v>1927</v>
      </c>
      <c r="L25" s="234">
        <v>2385</v>
      </c>
      <c r="M25" s="238">
        <v>2263</v>
      </c>
      <c r="N25" s="234">
        <v>1345</v>
      </c>
      <c r="O25" s="234">
        <v>1204</v>
      </c>
      <c r="P25" s="234">
        <v>1323</v>
      </c>
      <c r="Q25" s="238">
        <v>1159</v>
      </c>
      <c r="R25" s="234">
        <v>1182</v>
      </c>
      <c r="S25" s="234">
        <v>1109</v>
      </c>
      <c r="T25" s="234">
        <v>1096</v>
      </c>
      <c r="U25" s="238">
        <v>1064</v>
      </c>
      <c r="V25" s="234">
        <v>1151</v>
      </c>
      <c r="W25" s="234">
        <v>1134</v>
      </c>
      <c r="X25" s="234">
        <v>1299</v>
      </c>
      <c r="Y25" s="238">
        <v>1228</v>
      </c>
      <c r="Z25" s="234">
        <v>1402</v>
      </c>
      <c r="AA25" s="234">
        <v>1383</v>
      </c>
      <c r="AB25" s="234">
        <v>1259</v>
      </c>
      <c r="AC25" s="238">
        <v>1097</v>
      </c>
      <c r="AD25" s="234">
        <v>1274</v>
      </c>
      <c r="AE25" s="234">
        <v>1255</v>
      </c>
      <c r="AF25" s="234">
        <v>1169</v>
      </c>
      <c r="AG25" s="238">
        <v>1269</v>
      </c>
      <c r="AH25" s="201">
        <v>1500</v>
      </c>
      <c r="AI25" s="238">
        <v>907</v>
      </c>
      <c r="AJ25" s="238">
        <v>929</v>
      </c>
      <c r="AK25" s="238">
        <v>908</v>
      </c>
      <c r="AL25" s="203"/>
      <c r="AM25" s="380">
        <f t="shared" si="4"/>
        <v>6575</v>
      </c>
      <c r="AN25" s="380">
        <f t="shared" si="5"/>
        <v>3686</v>
      </c>
      <c r="AO25" s="254">
        <f t="shared" si="6"/>
        <v>3390</v>
      </c>
      <c r="AP25" s="30">
        <f t="shared" si="7"/>
        <v>0.6738223017292785</v>
      </c>
      <c r="AQ25" s="245"/>
      <c r="AR25" s="635">
        <f t="shared" si="10"/>
        <v>8421</v>
      </c>
      <c r="AS25" s="635">
        <f t="shared" si="9"/>
        <v>5031</v>
      </c>
      <c r="AT25" s="635">
        <f t="shared" si="11"/>
        <v>4451</v>
      </c>
      <c r="AU25" s="237">
        <v>4812</v>
      </c>
      <c r="AV25" s="201">
        <v>5141</v>
      </c>
      <c r="AW25" s="238">
        <v>4967</v>
      </c>
      <c r="AX25" s="238">
        <v>4244</v>
      </c>
      <c r="AY25" s="43">
        <v>1003</v>
      </c>
      <c r="AZ25" s="43">
        <v>0</v>
      </c>
      <c r="BA25" s="43">
        <v>0</v>
      </c>
      <c r="BB25" s="3"/>
      <c r="BC25" s="3"/>
      <c r="BD25" s="3"/>
      <c r="BG25" s="3"/>
    </row>
    <row r="26" spans="1:59" ht="12.75" customHeight="1">
      <c r="A26" s="8"/>
      <c r="B26" s="83" t="s">
        <v>77</v>
      </c>
      <c r="C26" s="242">
        <f t="shared" si="2"/>
        <v>-852</v>
      </c>
      <c r="D26" s="30">
        <f t="shared" si="3"/>
        <v>-0.2501467997651204</v>
      </c>
      <c r="E26" s="592"/>
      <c r="F26" s="234"/>
      <c r="G26" s="234"/>
      <c r="H26" s="234"/>
      <c r="I26" s="238">
        <v>2554</v>
      </c>
      <c r="J26" s="234">
        <v>2531</v>
      </c>
      <c r="K26" s="234">
        <v>3293</v>
      </c>
      <c r="L26" s="234">
        <v>3084</v>
      </c>
      <c r="M26" s="238">
        <v>3406</v>
      </c>
      <c r="N26" s="234">
        <v>1588</v>
      </c>
      <c r="O26" s="234">
        <v>1370</v>
      </c>
      <c r="P26" s="234">
        <v>1346</v>
      </c>
      <c r="Q26" s="238">
        <v>1266</v>
      </c>
      <c r="R26" s="234">
        <v>1248</v>
      </c>
      <c r="S26" s="234">
        <v>1372</v>
      </c>
      <c r="T26" s="234">
        <v>1428</v>
      </c>
      <c r="U26" s="238">
        <v>1425</v>
      </c>
      <c r="V26" s="234">
        <v>1242</v>
      </c>
      <c r="W26" s="234">
        <v>1344</v>
      </c>
      <c r="X26" s="234">
        <v>1220</v>
      </c>
      <c r="Y26" s="238">
        <v>1202</v>
      </c>
      <c r="Z26" s="234">
        <v>1431</v>
      </c>
      <c r="AA26" s="234">
        <v>1735</v>
      </c>
      <c r="AB26" s="234">
        <v>1172</v>
      </c>
      <c r="AC26" s="238">
        <v>723</v>
      </c>
      <c r="AD26" s="234">
        <v>771</v>
      </c>
      <c r="AE26" s="234">
        <v>615</v>
      </c>
      <c r="AF26" s="234">
        <v>571</v>
      </c>
      <c r="AG26" s="238">
        <v>619</v>
      </c>
      <c r="AH26" s="201">
        <v>605</v>
      </c>
      <c r="AI26" s="238">
        <v>585</v>
      </c>
      <c r="AJ26" s="238">
        <v>494</v>
      </c>
      <c r="AK26" s="238">
        <v>600</v>
      </c>
      <c r="AL26" s="203"/>
      <c r="AM26" s="380">
        <f t="shared" si="4"/>
        <v>9783</v>
      </c>
      <c r="AN26" s="380">
        <f t="shared" si="5"/>
        <v>3982</v>
      </c>
      <c r="AO26" s="254">
        <f t="shared" si="6"/>
        <v>6744</v>
      </c>
      <c r="AP26" s="30">
        <f t="shared" si="7"/>
        <v>1.2107719928186715</v>
      </c>
      <c r="AQ26" s="245"/>
      <c r="AR26" s="635">
        <f>SUM(J26:M26)</f>
        <v>12314</v>
      </c>
      <c r="AS26" s="635">
        <f t="shared" si="9"/>
        <v>5570</v>
      </c>
      <c r="AT26" s="635">
        <f t="shared" si="11"/>
        <v>5473</v>
      </c>
      <c r="AU26" s="237">
        <v>5008</v>
      </c>
      <c r="AV26" s="201">
        <v>5061</v>
      </c>
      <c r="AW26" s="238">
        <v>2576</v>
      </c>
      <c r="AX26" s="238">
        <v>2284</v>
      </c>
      <c r="AY26" s="43">
        <v>496</v>
      </c>
      <c r="AZ26" s="43">
        <v>0</v>
      </c>
      <c r="BA26" s="43">
        <v>0</v>
      </c>
      <c r="BB26" s="3"/>
      <c r="BC26" s="3"/>
      <c r="BD26" s="3"/>
      <c r="BG26" s="3"/>
    </row>
    <row r="27" spans="1:59" ht="12.75" customHeight="1">
      <c r="A27" s="8"/>
      <c r="B27" s="83" t="s">
        <v>72</v>
      </c>
      <c r="C27" s="242">
        <f t="shared" si="2"/>
        <v>675</v>
      </c>
      <c r="D27" s="30">
        <f t="shared" si="3"/>
        <v>1.1925795053003534</v>
      </c>
      <c r="E27" s="592"/>
      <c r="F27" s="234"/>
      <c r="G27" s="234"/>
      <c r="H27" s="234"/>
      <c r="I27" s="238">
        <v>1241</v>
      </c>
      <c r="J27" s="234">
        <v>397</v>
      </c>
      <c r="K27" s="234">
        <f>448-2</f>
        <v>446</v>
      </c>
      <c r="L27" s="234">
        <v>505</v>
      </c>
      <c r="M27" s="238">
        <v>566</v>
      </c>
      <c r="N27" s="234">
        <v>98</v>
      </c>
      <c r="O27" s="234">
        <v>66</v>
      </c>
      <c r="P27" s="234">
        <v>56</v>
      </c>
      <c r="Q27" s="238">
        <v>38</v>
      </c>
      <c r="R27" s="234">
        <v>40</v>
      </c>
      <c r="S27" s="234">
        <v>51</v>
      </c>
      <c r="T27" s="234">
        <v>31</v>
      </c>
      <c r="U27" s="238">
        <v>59</v>
      </c>
      <c r="V27" s="234">
        <v>429</v>
      </c>
      <c r="W27" s="234">
        <v>179</v>
      </c>
      <c r="X27" s="234">
        <v>200</v>
      </c>
      <c r="Y27" s="238">
        <v>1080</v>
      </c>
      <c r="Z27" s="234">
        <v>1120</v>
      </c>
      <c r="AA27" s="234">
        <v>884</v>
      </c>
      <c r="AB27" s="234">
        <v>584</v>
      </c>
      <c r="AC27" s="238">
        <v>486</v>
      </c>
      <c r="AD27" s="234">
        <v>474</v>
      </c>
      <c r="AE27" s="234">
        <v>456</v>
      </c>
      <c r="AF27" s="234">
        <v>479</v>
      </c>
      <c r="AG27" s="238">
        <v>321</v>
      </c>
      <c r="AH27" s="201">
        <v>139</v>
      </c>
      <c r="AI27" s="238">
        <v>102</v>
      </c>
      <c r="AJ27" s="238">
        <v>80</v>
      </c>
      <c r="AK27" s="238">
        <v>94</v>
      </c>
      <c r="AL27" s="203"/>
      <c r="AM27" s="380">
        <f t="shared" si="4"/>
        <v>1517</v>
      </c>
      <c r="AN27" s="380">
        <f t="shared" si="5"/>
        <v>160</v>
      </c>
      <c r="AO27" s="254">
        <f t="shared" si="6"/>
        <v>1656</v>
      </c>
      <c r="AP27" s="30" t="str">
        <f>IF(OR((AO27/AS27)&gt;3,(AO27/AS27)&lt;-3),"n.m.",(AO27/AS27))</f>
        <v>n.m.</v>
      </c>
      <c r="AQ27" s="245"/>
      <c r="AR27" s="635">
        <f t="shared" si="10"/>
        <v>1914</v>
      </c>
      <c r="AS27" s="635">
        <f t="shared" si="9"/>
        <v>258</v>
      </c>
      <c r="AT27" s="635">
        <f t="shared" si="11"/>
        <v>181</v>
      </c>
      <c r="AU27" s="237">
        <v>1888</v>
      </c>
      <c r="AV27" s="201">
        <v>3074</v>
      </c>
      <c r="AW27" s="238">
        <v>1730</v>
      </c>
      <c r="AX27" s="238">
        <v>415</v>
      </c>
      <c r="AY27" s="43">
        <v>89</v>
      </c>
      <c r="AZ27" s="43">
        <v>0</v>
      </c>
      <c r="BA27" s="43">
        <v>0</v>
      </c>
      <c r="BB27" s="3"/>
      <c r="BC27" s="3"/>
      <c r="BD27" s="3"/>
      <c r="BG27" s="3"/>
    </row>
    <row r="28" spans="1:59" ht="12.75" customHeight="1">
      <c r="A28" s="8"/>
      <c r="B28" s="83" t="s">
        <v>101</v>
      </c>
      <c r="C28" s="242">
        <f t="shared" si="2"/>
        <v>-369</v>
      </c>
      <c r="D28" s="30">
        <f t="shared" si="3"/>
        <v>-0.07538304392236976</v>
      </c>
      <c r="E28" s="592"/>
      <c r="F28" s="234"/>
      <c r="G28" s="234"/>
      <c r="H28" s="234"/>
      <c r="I28" s="238">
        <v>4526</v>
      </c>
      <c r="J28" s="234">
        <v>4140</v>
      </c>
      <c r="K28" s="234">
        <v>4280</v>
      </c>
      <c r="L28" s="234">
        <v>4005</v>
      </c>
      <c r="M28" s="238">
        <v>4895</v>
      </c>
      <c r="N28" s="234">
        <v>3536</v>
      </c>
      <c r="O28" s="234">
        <v>3132</v>
      </c>
      <c r="P28" s="234">
        <v>3311</v>
      </c>
      <c r="Q28" s="238">
        <v>3098</v>
      </c>
      <c r="R28" s="234">
        <v>2771</v>
      </c>
      <c r="S28" s="234">
        <v>3144</v>
      </c>
      <c r="T28" s="234">
        <v>2704</v>
      </c>
      <c r="U28" s="238">
        <v>2959</v>
      </c>
      <c r="V28" s="234">
        <v>1586</v>
      </c>
      <c r="W28" s="234">
        <v>2341</v>
      </c>
      <c r="X28" s="234">
        <v>2368</v>
      </c>
      <c r="Y28" s="238">
        <v>2597</v>
      </c>
      <c r="Z28" s="234">
        <v>2329</v>
      </c>
      <c r="AA28" s="234">
        <v>2527</v>
      </c>
      <c r="AB28" s="234">
        <v>3913</v>
      </c>
      <c r="AC28" s="238">
        <v>3848</v>
      </c>
      <c r="AD28" s="234">
        <v>3196</v>
      </c>
      <c r="AE28" s="234">
        <v>2461</v>
      </c>
      <c r="AF28" s="234">
        <v>3688</v>
      </c>
      <c r="AG28" s="238">
        <v>3089</v>
      </c>
      <c r="AH28" s="201">
        <v>3359</v>
      </c>
      <c r="AI28" s="238">
        <v>2751</v>
      </c>
      <c r="AJ28" s="238">
        <v>2734</v>
      </c>
      <c r="AK28" s="238">
        <v>2277</v>
      </c>
      <c r="AL28" s="203"/>
      <c r="AM28" s="380">
        <f t="shared" si="4"/>
        <v>13180</v>
      </c>
      <c r="AN28" s="380">
        <f t="shared" si="5"/>
        <v>9541</v>
      </c>
      <c r="AO28" s="254">
        <f t="shared" si="6"/>
        <v>4243</v>
      </c>
      <c r="AP28" s="30">
        <f>IF(OR((AO28/AS28)&gt;3,(AO28/AS28)&lt;-3),"n.m.",(AO28/AS28))</f>
        <v>0.3244627972776631</v>
      </c>
      <c r="AQ28" s="245"/>
      <c r="AR28" s="635">
        <f t="shared" si="10"/>
        <v>17320</v>
      </c>
      <c r="AS28" s="635">
        <f t="shared" si="9"/>
        <v>13077</v>
      </c>
      <c r="AT28" s="635">
        <f t="shared" si="11"/>
        <v>11578</v>
      </c>
      <c r="AU28" s="237">
        <v>8892</v>
      </c>
      <c r="AV28" s="201">
        <v>12617</v>
      </c>
      <c r="AW28" s="238">
        <v>12434</v>
      </c>
      <c r="AX28" s="238">
        <v>11121</v>
      </c>
      <c r="AY28" s="43">
        <v>1787</v>
      </c>
      <c r="AZ28" s="43">
        <v>0</v>
      </c>
      <c r="BA28" s="43">
        <v>0</v>
      </c>
      <c r="BB28" s="3"/>
      <c r="BC28" s="3"/>
      <c r="BD28" s="3"/>
      <c r="BG28" s="3"/>
    </row>
    <row r="29" spans="1:59" ht="12.75" customHeight="1">
      <c r="A29" s="8"/>
      <c r="B29" s="83" t="s">
        <v>79</v>
      </c>
      <c r="C29" s="242">
        <f t="shared" si="2"/>
        <v>-180</v>
      </c>
      <c r="D29" s="30">
        <f t="shared" si="3"/>
        <v>-0.4072398190045249</v>
      </c>
      <c r="E29" s="592"/>
      <c r="F29" s="234"/>
      <c r="G29" s="234"/>
      <c r="H29" s="234"/>
      <c r="I29" s="238">
        <v>262</v>
      </c>
      <c r="J29" s="234">
        <v>201</v>
      </c>
      <c r="K29" s="234">
        <v>213</v>
      </c>
      <c r="L29" s="234">
        <v>406</v>
      </c>
      <c r="M29" s="238">
        <v>442</v>
      </c>
      <c r="N29" s="234">
        <v>552</v>
      </c>
      <c r="O29" s="234">
        <v>320</v>
      </c>
      <c r="P29" s="234">
        <v>313</v>
      </c>
      <c r="Q29" s="238">
        <v>243</v>
      </c>
      <c r="R29" s="234">
        <v>201</v>
      </c>
      <c r="S29" s="234">
        <v>258</v>
      </c>
      <c r="T29" s="234">
        <v>276</v>
      </c>
      <c r="U29" s="238">
        <v>262</v>
      </c>
      <c r="V29" s="234">
        <v>279</v>
      </c>
      <c r="W29" s="234">
        <v>287</v>
      </c>
      <c r="X29" s="234">
        <v>277</v>
      </c>
      <c r="Y29" s="238">
        <v>281</v>
      </c>
      <c r="Z29" s="234">
        <v>298</v>
      </c>
      <c r="AA29" s="234">
        <v>295</v>
      </c>
      <c r="AB29" s="234">
        <v>259</v>
      </c>
      <c r="AC29" s="238">
        <v>246</v>
      </c>
      <c r="AD29" s="234">
        <v>298</v>
      </c>
      <c r="AE29" s="234">
        <v>296</v>
      </c>
      <c r="AF29" s="234">
        <v>280</v>
      </c>
      <c r="AG29" s="238">
        <v>232</v>
      </c>
      <c r="AH29" s="201">
        <v>180</v>
      </c>
      <c r="AI29" s="238">
        <v>199</v>
      </c>
      <c r="AJ29" s="238">
        <v>155</v>
      </c>
      <c r="AK29" s="238">
        <v>173</v>
      </c>
      <c r="AL29" s="203"/>
      <c r="AM29" s="380">
        <f t="shared" si="4"/>
        <v>1061</v>
      </c>
      <c r="AN29" s="380">
        <f t="shared" si="5"/>
        <v>876</v>
      </c>
      <c r="AO29" s="254">
        <f t="shared" si="6"/>
        <v>-166</v>
      </c>
      <c r="AP29" s="30">
        <f>IF(OR((AO29/AS29)&gt;3,(AO29/AS29)&lt;-3),"n.m.",(AO29/AS29))</f>
        <v>-0.11624649859943978</v>
      </c>
      <c r="AQ29" s="245"/>
      <c r="AR29" s="635">
        <f t="shared" si="10"/>
        <v>1262</v>
      </c>
      <c r="AS29" s="635">
        <f t="shared" si="9"/>
        <v>1428</v>
      </c>
      <c r="AT29" s="635">
        <f t="shared" si="11"/>
        <v>997</v>
      </c>
      <c r="AU29" s="237">
        <v>1124</v>
      </c>
      <c r="AV29" s="201">
        <v>1098</v>
      </c>
      <c r="AW29" s="238">
        <v>1106</v>
      </c>
      <c r="AX29" s="238">
        <v>707</v>
      </c>
      <c r="AY29" s="43">
        <v>178</v>
      </c>
      <c r="AZ29" s="43">
        <v>0</v>
      </c>
      <c r="BA29" s="43">
        <v>0</v>
      </c>
      <c r="BB29" s="3"/>
      <c r="BC29" s="3"/>
      <c r="BD29" s="3"/>
      <c r="BG29" s="3"/>
    </row>
    <row r="30" spans="1:59" ht="12.75" customHeight="1">
      <c r="A30" s="8"/>
      <c r="B30" s="83" t="s">
        <v>80</v>
      </c>
      <c r="C30" s="242">
        <f t="shared" si="2"/>
        <v>-975</v>
      </c>
      <c r="D30" s="30">
        <f t="shared" si="3"/>
        <v>-0.5855855855855856</v>
      </c>
      <c r="E30" s="592"/>
      <c r="F30" s="234"/>
      <c r="G30" s="234"/>
      <c r="H30" s="234"/>
      <c r="I30" s="238">
        <v>690</v>
      </c>
      <c r="J30" s="234">
        <v>762</v>
      </c>
      <c r="K30" s="234">
        <v>1031</v>
      </c>
      <c r="L30" s="234">
        <v>1301</v>
      </c>
      <c r="M30" s="238">
        <v>1665</v>
      </c>
      <c r="N30" s="234">
        <v>1123</v>
      </c>
      <c r="O30" s="234">
        <v>1040</v>
      </c>
      <c r="P30" s="234">
        <v>1228</v>
      </c>
      <c r="Q30" s="238">
        <v>1193</v>
      </c>
      <c r="R30" s="234">
        <v>516</v>
      </c>
      <c r="S30" s="234">
        <v>1213</v>
      </c>
      <c r="T30" s="234">
        <v>1026</v>
      </c>
      <c r="U30" s="238">
        <v>301</v>
      </c>
      <c r="V30" s="234">
        <v>418</v>
      </c>
      <c r="W30" s="234">
        <v>899</v>
      </c>
      <c r="X30" s="234">
        <v>1030</v>
      </c>
      <c r="Y30" s="238">
        <v>1730</v>
      </c>
      <c r="Z30" s="234">
        <v>2204</v>
      </c>
      <c r="AA30" s="234">
        <v>3246</v>
      </c>
      <c r="AB30" s="234">
        <v>2719</v>
      </c>
      <c r="AC30" s="238">
        <v>3341</v>
      </c>
      <c r="AD30" s="234">
        <v>5333</v>
      </c>
      <c r="AE30" s="234">
        <v>3240</v>
      </c>
      <c r="AF30" s="234">
        <v>4438</v>
      </c>
      <c r="AG30" s="238">
        <v>3867</v>
      </c>
      <c r="AH30" s="201">
        <v>3233</v>
      </c>
      <c r="AI30" s="238">
        <v>2112</v>
      </c>
      <c r="AJ30" s="238">
        <v>2716</v>
      </c>
      <c r="AK30" s="238">
        <v>809</v>
      </c>
      <c r="AL30" s="203"/>
      <c r="AM30" s="380">
        <f t="shared" si="4"/>
        <v>3997</v>
      </c>
      <c r="AN30" s="380">
        <f t="shared" si="5"/>
        <v>3461</v>
      </c>
      <c r="AO30" s="254">
        <f t="shared" si="6"/>
        <v>175</v>
      </c>
      <c r="AP30" s="30">
        <f>IF(OR((AO30/AS30)&gt;3,(AO30/AS30)&lt;-3),"n.m.",(AO30/AS30))</f>
        <v>0.03817626527050611</v>
      </c>
      <c r="AQ30" s="245"/>
      <c r="AR30" s="635">
        <f t="shared" si="10"/>
        <v>4759</v>
      </c>
      <c r="AS30" s="635">
        <f t="shared" si="9"/>
        <v>4584</v>
      </c>
      <c r="AT30" s="635">
        <f t="shared" si="11"/>
        <v>3056</v>
      </c>
      <c r="AU30" s="237">
        <v>4077</v>
      </c>
      <c r="AV30" s="201">
        <v>11510</v>
      </c>
      <c r="AW30" s="238">
        <v>16878</v>
      </c>
      <c r="AX30" s="238">
        <v>8870</v>
      </c>
      <c r="AY30" s="43">
        <v>554</v>
      </c>
      <c r="AZ30" s="43">
        <v>0</v>
      </c>
      <c r="BA30" s="43">
        <v>0</v>
      </c>
      <c r="BB30" s="3"/>
      <c r="BC30" s="3"/>
      <c r="BD30" s="3"/>
      <c r="BG30" s="3"/>
    </row>
    <row r="31" spans="1:59" ht="12.75" customHeight="1">
      <c r="A31" s="8"/>
      <c r="B31" s="7" t="s">
        <v>193</v>
      </c>
      <c r="C31" s="242">
        <f t="shared" si="2"/>
        <v>0</v>
      </c>
      <c r="D31" s="28">
        <v>0</v>
      </c>
      <c r="E31" s="592"/>
      <c r="F31" s="31"/>
      <c r="G31" s="31"/>
      <c r="H31" s="31"/>
      <c r="I31" s="28">
        <v>0</v>
      </c>
      <c r="J31" s="31">
        <v>0</v>
      </c>
      <c r="K31" s="31">
        <v>2985</v>
      </c>
      <c r="L31" s="31">
        <v>3820</v>
      </c>
      <c r="M31" s="28">
        <v>0</v>
      </c>
      <c r="N31" s="31">
        <v>2758</v>
      </c>
      <c r="O31" s="31">
        <v>408</v>
      </c>
      <c r="P31" s="31">
        <v>0</v>
      </c>
      <c r="Q31" s="28">
        <v>0</v>
      </c>
      <c r="R31" s="31">
        <v>0</v>
      </c>
      <c r="S31" s="31">
        <v>0</v>
      </c>
      <c r="T31" s="31">
        <v>0</v>
      </c>
      <c r="U31" s="28">
        <v>0</v>
      </c>
      <c r="V31" s="31">
        <v>0</v>
      </c>
      <c r="W31" s="31">
        <v>0</v>
      </c>
      <c r="X31" s="31">
        <v>0</v>
      </c>
      <c r="Y31" s="28">
        <v>0</v>
      </c>
      <c r="Z31" s="158">
        <v>0</v>
      </c>
      <c r="AA31" s="234">
        <v>3623</v>
      </c>
      <c r="AB31" s="158">
        <v>0</v>
      </c>
      <c r="AC31" s="159">
        <v>0</v>
      </c>
      <c r="AD31" s="158">
        <v>0</v>
      </c>
      <c r="AE31" s="158">
        <v>0</v>
      </c>
      <c r="AF31" s="158">
        <v>0</v>
      </c>
      <c r="AG31" s="159">
        <v>0</v>
      </c>
      <c r="AH31" s="160">
        <v>0</v>
      </c>
      <c r="AI31" s="159">
        <v>0</v>
      </c>
      <c r="AJ31" s="238"/>
      <c r="AK31" s="238"/>
      <c r="AL31" s="203"/>
      <c r="AM31" s="31">
        <f t="shared" si="4"/>
        <v>6805</v>
      </c>
      <c r="AN31" s="31">
        <f t="shared" si="5"/>
        <v>408</v>
      </c>
      <c r="AO31" s="254">
        <f t="shared" si="6"/>
        <v>3639</v>
      </c>
      <c r="AP31" s="30" t="s">
        <v>44</v>
      </c>
      <c r="AQ31" s="245"/>
      <c r="AR31" s="635">
        <f t="shared" si="10"/>
        <v>6805</v>
      </c>
      <c r="AS31" s="635">
        <f t="shared" si="9"/>
        <v>3166</v>
      </c>
      <c r="AT31" s="659">
        <v>0</v>
      </c>
      <c r="AU31" s="43">
        <v>0</v>
      </c>
      <c r="AV31" s="201">
        <v>3623</v>
      </c>
      <c r="AW31" s="28">
        <v>0</v>
      </c>
      <c r="AX31" s="43">
        <v>0</v>
      </c>
      <c r="AY31" s="43">
        <v>0</v>
      </c>
      <c r="AZ31" s="43">
        <v>0</v>
      </c>
      <c r="BA31" s="43">
        <v>0</v>
      </c>
      <c r="BB31" s="3"/>
      <c r="BC31" s="3"/>
      <c r="BD31" s="3"/>
      <c r="BG31" s="3"/>
    </row>
    <row r="32" spans="1:59" ht="12.75" customHeight="1">
      <c r="A32" s="8"/>
      <c r="B32" s="7" t="s">
        <v>218</v>
      </c>
      <c r="C32" s="242">
        <f t="shared" si="2"/>
        <v>0</v>
      </c>
      <c r="D32" s="28">
        <v>0</v>
      </c>
      <c r="E32" s="592"/>
      <c r="F32" s="31"/>
      <c r="G32" s="31"/>
      <c r="H32" s="31"/>
      <c r="I32" s="28">
        <v>0</v>
      </c>
      <c r="J32" s="31">
        <v>0</v>
      </c>
      <c r="K32" s="31">
        <v>0</v>
      </c>
      <c r="L32" s="31">
        <v>0</v>
      </c>
      <c r="M32" s="28">
        <v>0</v>
      </c>
      <c r="N32" s="31">
        <v>437</v>
      </c>
      <c r="O32" s="31">
        <v>0</v>
      </c>
      <c r="P32" s="31">
        <v>0</v>
      </c>
      <c r="Q32" s="28">
        <v>0</v>
      </c>
      <c r="R32" s="31">
        <v>0</v>
      </c>
      <c r="S32" s="31">
        <v>0</v>
      </c>
      <c r="T32" s="31">
        <v>0</v>
      </c>
      <c r="U32" s="28">
        <v>0</v>
      </c>
      <c r="V32" s="31">
        <v>0</v>
      </c>
      <c r="W32" s="31"/>
      <c r="X32" s="31"/>
      <c r="Y32" s="28"/>
      <c r="Z32" s="31"/>
      <c r="AA32" s="234"/>
      <c r="AB32" s="31"/>
      <c r="AC32" s="28"/>
      <c r="AD32" s="31"/>
      <c r="AE32" s="31"/>
      <c r="AF32" s="31"/>
      <c r="AG32" s="31"/>
      <c r="AH32" s="43"/>
      <c r="AI32" s="28"/>
      <c r="AJ32" s="238"/>
      <c r="AK32" s="238"/>
      <c r="AL32" s="203"/>
      <c r="AM32" s="31">
        <f t="shared" si="4"/>
        <v>0</v>
      </c>
      <c r="AN32" s="31">
        <f t="shared" si="5"/>
        <v>0</v>
      </c>
      <c r="AO32" s="254">
        <f t="shared" si="6"/>
        <v>-437</v>
      </c>
      <c r="AP32" s="30">
        <v>0</v>
      </c>
      <c r="AQ32" s="245"/>
      <c r="AR32" s="659">
        <f t="shared" si="10"/>
        <v>0</v>
      </c>
      <c r="AS32" s="635">
        <f t="shared" si="9"/>
        <v>437</v>
      </c>
      <c r="AT32" s="659">
        <v>0</v>
      </c>
      <c r="AU32" s="43">
        <v>0</v>
      </c>
      <c r="AV32" s="43">
        <v>0</v>
      </c>
      <c r="AW32" s="28">
        <v>0</v>
      </c>
      <c r="AX32" s="43"/>
      <c r="AY32" s="43"/>
      <c r="AZ32" s="43"/>
      <c r="BA32" s="43"/>
      <c r="BB32" s="3"/>
      <c r="BC32" s="3"/>
      <c r="BD32" s="3"/>
      <c r="BG32" s="3"/>
    </row>
    <row r="33" spans="1:59" ht="12.75" customHeight="1">
      <c r="A33" s="8"/>
      <c r="B33" s="7" t="s">
        <v>191</v>
      </c>
      <c r="C33" s="242">
        <f t="shared" si="2"/>
        <v>0</v>
      </c>
      <c r="D33" s="28">
        <v>0</v>
      </c>
      <c r="E33" s="592"/>
      <c r="F33" s="158"/>
      <c r="G33" s="158"/>
      <c r="H33" s="158"/>
      <c r="I33" s="28">
        <v>0</v>
      </c>
      <c r="J33" s="158">
        <v>0</v>
      </c>
      <c r="K33" s="158">
        <v>0</v>
      </c>
      <c r="L33" s="158">
        <v>0</v>
      </c>
      <c r="M33" s="28">
        <v>0</v>
      </c>
      <c r="N33" s="31">
        <v>0</v>
      </c>
      <c r="O33" s="158">
        <v>0</v>
      </c>
      <c r="P33" s="158">
        <v>0</v>
      </c>
      <c r="Q33" s="28">
        <v>0</v>
      </c>
      <c r="R33" s="31">
        <v>0</v>
      </c>
      <c r="S33" s="158">
        <v>0</v>
      </c>
      <c r="T33" s="31">
        <v>0</v>
      </c>
      <c r="U33" s="28">
        <v>0</v>
      </c>
      <c r="V33" s="31">
        <v>0</v>
      </c>
      <c r="W33" s="31">
        <v>0</v>
      </c>
      <c r="X33" s="31">
        <v>0</v>
      </c>
      <c r="Y33" s="28">
        <v>0</v>
      </c>
      <c r="Z33" s="31">
        <v>0</v>
      </c>
      <c r="AA33" s="234">
        <v>27566</v>
      </c>
      <c r="AB33" s="31">
        <v>0</v>
      </c>
      <c r="AC33" s="28">
        <v>0</v>
      </c>
      <c r="AD33" s="31">
        <v>0</v>
      </c>
      <c r="AE33" s="31">
        <v>0</v>
      </c>
      <c r="AF33" s="31">
        <v>0</v>
      </c>
      <c r="AG33" s="31">
        <v>0</v>
      </c>
      <c r="AH33" s="43">
        <v>0</v>
      </c>
      <c r="AI33" s="28">
        <v>0</v>
      </c>
      <c r="AJ33" s="238"/>
      <c r="AK33" s="238"/>
      <c r="AL33" s="203"/>
      <c r="AM33" s="31">
        <f t="shared" si="4"/>
        <v>0</v>
      </c>
      <c r="AN33" s="158">
        <f t="shared" si="5"/>
        <v>0</v>
      </c>
      <c r="AO33" s="254">
        <f t="shared" si="6"/>
        <v>0</v>
      </c>
      <c r="AP33" s="588" t="s">
        <v>243</v>
      </c>
      <c r="AQ33" s="245"/>
      <c r="AR33" s="659">
        <f t="shared" si="10"/>
        <v>0</v>
      </c>
      <c r="AS33" s="659">
        <f t="shared" si="9"/>
        <v>0</v>
      </c>
      <c r="AT33" s="659">
        <v>0</v>
      </c>
      <c r="AU33" s="43">
        <v>0</v>
      </c>
      <c r="AV33" s="201">
        <v>27566</v>
      </c>
      <c r="AW33" s="28">
        <v>0</v>
      </c>
      <c r="AX33" s="43">
        <v>0</v>
      </c>
      <c r="AY33" s="43">
        <v>0</v>
      </c>
      <c r="AZ33" s="43">
        <v>0</v>
      </c>
      <c r="BA33" s="43">
        <v>0</v>
      </c>
      <c r="BB33" s="3"/>
      <c r="BC33" s="3"/>
      <c r="BD33" s="3"/>
      <c r="BG33" s="3"/>
    </row>
    <row r="34" spans="1:59" ht="12.75" customHeight="1">
      <c r="A34" s="8"/>
      <c r="B34" s="7"/>
      <c r="C34" s="247">
        <f t="shared" si="2"/>
        <v>5076</v>
      </c>
      <c r="D34" s="170">
        <f>IF(OR((C34/M34)&gt;3,(C34/M34)&lt;-3),"n.m.",(C34/M34))</f>
        <v>0.12428382547377699</v>
      </c>
      <c r="E34" s="592"/>
      <c r="F34" s="235">
        <f aca="true" t="shared" si="12" ref="F34:N34">SUM(F21:F33)</f>
        <v>0</v>
      </c>
      <c r="G34" s="235">
        <f t="shared" si="12"/>
        <v>0</v>
      </c>
      <c r="H34" s="235">
        <f t="shared" si="12"/>
        <v>0</v>
      </c>
      <c r="I34" s="249">
        <f t="shared" si="12"/>
        <v>45918</v>
      </c>
      <c r="J34" s="235">
        <f t="shared" si="12"/>
        <v>41443</v>
      </c>
      <c r="K34" s="235">
        <f t="shared" si="12"/>
        <v>39193</v>
      </c>
      <c r="L34" s="235">
        <f t="shared" si="12"/>
        <v>42669</v>
      </c>
      <c r="M34" s="249">
        <f t="shared" si="12"/>
        <v>40842</v>
      </c>
      <c r="N34" s="235">
        <f t="shared" si="12"/>
        <v>26879</v>
      </c>
      <c r="O34" s="235">
        <f>SUM(O24:O33,O21:O22)</f>
        <v>19473</v>
      </c>
      <c r="P34" s="235">
        <f aca="true" t="shared" si="13" ref="P34:U34">SUM(P21:P33)</f>
        <v>20340</v>
      </c>
      <c r="Q34" s="249">
        <f t="shared" si="13"/>
        <v>23902</v>
      </c>
      <c r="R34" s="235">
        <f t="shared" si="13"/>
        <v>23515</v>
      </c>
      <c r="S34" s="235">
        <f t="shared" si="13"/>
        <v>27752</v>
      </c>
      <c r="T34" s="248">
        <f t="shared" si="13"/>
        <v>20429</v>
      </c>
      <c r="U34" s="249">
        <f t="shared" si="13"/>
        <v>22719</v>
      </c>
      <c r="V34" s="248">
        <v>18936</v>
      </c>
      <c r="W34" s="235">
        <v>22225</v>
      </c>
      <c r="X34" s="248">
        <v>25687</v>
      </c>
      <c r="Y34" s="249">
        <v>24938</v>
      </c>
      <c r="Z34" s="248">
        <v>20382</v>
      </c>
      <c r="AA34" s="235">
        <v>52500</v>
      </c>
      <c r="AB34" s="248">
        <v>22165</v>
      </c>
      <c r="AC34" s="249">
        <v>24603</v>
      </c>
      <c r="AD34" s="248">
        <v>28700</v>
      </c>
      <c r="AE34" s="235">
        <v>23749</v>
      </c>
      <c r="AF34" s="235">
        <v>23836</v>
      </c>
      <c r="AG34" s="249">
        <v>25278</v>
      </c>
      <c r="AH34" s="202">
        <v>23039</v>
      </c>
      <c r="AI34" s="249">
        <v>20245</v>
      </c>
      <c r="AJ34" s="249">
        <v>19222</v>
      </c>
      <c r="AK34" s="249">
        <v>21797</v>
      </c>
      <c r="AL34" s="203"/>
      <c r="AM34" s="248">
        <f>SUM(AM21:AM33)</f>
        <v>122704</v>
      </c>
      <c r="AN34" s="248">
        <f>SUM(AN21:AN33)</f>
        <v>63715</v>
      </c>
      <c r="AO34" s="248">
        <f t="shared" si="6"/>
        <v>73553</v>
      </c>
      <c r="AP34" s="170">
        <f>AO34/AS34</f>
        <v>0.8118970351237389</v>
      </c>
      <c r="AQ34" s="245"/>
      <c r="AR34" s="202">
        <f>SUM(AR21:AR33)</f>
        <v>164147</v>
      </c>
      <c r="AS34" s="202">
        <f>SUM(AS21:AS33)</f>
        <v>90594</v>
      </c>
      <c r="AT34" s="202">
        <f>SUM(AT21:AT33)</f>
        <v>94415</v>
      </c>
      <c r="AU34" s="202">
        <v>91786</v>
      </c>
      <c r="AV34" s="249">
        <v>119650</v>
      </c>
      <c r="AW34" s="249">
        <v>101563</v>
      </c>
      <c r="AX34" s="249">
        <v>84303</v>
      </c>
      <c r="AY34" s="355">
        <v>16880</v>
      </c>
      <c r="AZ34" s="355">
        <v>0</v>
      </c>
      <c r="BA34" s="355">
        <v>0</v>
      </c>
      <c r="BB34" s="3"/>
      <c r="BC34" s="3"/>
      <c r="BD34" s="3"/>
      <c r="BG34" s="3"/>
    </row>
    <row r="35" spans="1:59" ht="12.75" customHeight="1" thickBot="1">
      <c r="A35" s="1443" t="s">
        <v>445</v>
      </c>
      <c r="B35" s="1444"/>
      <c r="C35" s="251" t="e">
        <f t="shared" si="2"/>
        <v>#REF!</v>
      </c>
      <c r="D35" s="182" t="e">
        <f>-IF(OR((C35/M35)&gt;3,(C35/M35)&lt;-3),"n.m.",(C35/M35))</f>
        <v>#REF!</v>
      </c>
      <c r="E35" s="592"/>
      <c r="F35" s="252" t="e">
        <f aca="true" t="shared" si="14" ref="F35:M35">+F17-F34</f>
        <v>#REF!</v>
      </c>
      <c r="G35" s="252" t="e">
        <f t="shared" si="14"/>
        <v>#REF!</v>
      </c>
      <c r="H35" s="252" t="e">
        <f t="shared" si="14"/>
        <v>#REF!</v>
      </c>
      <c r="I35" s="253" t="e">
        <f t="shared" si="14"/>
        <v>#REF!</v>
      </c>
      <c r="J35" s="252" t="e">
        <f t="shared" si="14"/>
        <v>#REF!</v>
      </c>
      <c r="K35" s="252" t="e">
        <f t="shared" si="14"/>
        <v>#REF!</v>
      </c>
      <c r="L35" s="252" t="e">
        <f t="shared" si="14"/>
        <v>#REF!</v>
      </c>
      <c r="M35" s="253" t="e">
        <f t="shared" si="14"/>
        <v>#REF!</v>
      </c>
      <c r="N35" s="252" t="e">
        <f>N17-N34</f>
        <v>#REF!</v>
      </c>
      <c r="O35" s="252" t="e">
        <f aca="true" t="shared" si="15" ref="O35:U35">O17-O34</f>
        <v>#REF!</v>
      </c>
      <c r="P35" s="252" t="e">
        <f t="shared" si="15"/>
        <v>#REF!</v>
      </c>
      <c r="Q35" s="253" t="e">
        <f t="shared" si="15"/>
        <v>#REF!</v>
      </c>
      <c r="R35" s="252">
        <f t="shared" si="15"/>
        <v>5683</v>
      </c>
      <c r="S35" s="252">
        <f t="shared" si="15"/>
        <v>6421</v>
      </c>
      <c r="T35" s="252">
        <f t="shared" si="15"/>
        <v>664</v>
      </c>
      <c r="U35" s="253">
        <f t="shared" si="15"/>
        <v>3987</v>
      </c>
      <c r="V35" s="252">
        <v>1348</v>
      </c>
      <c r="W35" s="252">
        <v>592</v>
      </c>
      <c r="X35" s="252">
        <v>4450</v>
      </c>
      <c r="Y35" s="253">
        <v>2241</v>
      </c>
      <c r="Z35" s="252">
        <v>-3170</v>
      </c>
      <c r="AA35" s="252">
        <v>-35967</v>
      </c>
      <c r="AB35" s="252">
        <v>-3881</v>
      </c>
      <c r="AC35" s="253">
        <v>1018</v>
      </c>
      <c r="AD35" s="252">
        <v>-4631</v>
      </c>
      <c r="AE35" s="235"/>
      <c r="AF35" s="235"/>
      <c r="AG35" s="236"/>
      <c r="AH35" s="201"/>
      <c r="AI35" s="236"/>
      <c r="AJ35" s="236"/>
      <c r="AK35" s="236"/>
      <c r="AL35" s="203"/>
      <c r="AM35" s="734" t="e">
        <f>AM17-AM34</f>
        <v>#REF!</v>
      </c>
      <c r="AN35" s="384" t="e">
        <f>AN17-AN34</f>
        <v>#REF!</v>
      </c>
      <c r="AO35" s="384" t="e">
        <f t="shared" si="6"/>
        <v>#REF!</v>
      </c>
      <c r="AP35" s="182" t="e">
        <f>-IF(OR((AO35/AS35)&gt;3,(AO35/AS35)&lt;-3),"n.m.",(AO35/AS35))</f>
        <v>#REF!</v>
      </c>
      <c r="AQ35" s="245"/>
      <c r="AR35" s="387" t="e">
        <f>AR17-AR34</f>
        <v>#REF!</v>
      </c>
      <c r="AS35" s="387" t="e">
        <f>AS17-AS34</f>
        <v>#REF!</v>
      </c>
      <c r="AT35" s="387">
        <f>AT17-AT34</f>
        <v>16755</v>
      </c>
      <c r="AU35" s="209">
        <v>8631</v>
      </c>
      <c r="AV35" s="209">
        <v>-42000</v>
      </c>
      <c r="AW35" s="209">
        <v>-7359</v>
      </c>
      <c r="AX35" s="209">
        <v>-3630</v>
      </c>
      <c r="AY35" s="356">
        <f>AY17-AY34</f>
        <v>3081</v>
      </c>
      <c r="AZ35" s="356">
        <f>AZ17-AZ34</f>
        <v>0</v>
      </c>
      <c r="BA35" s="538"/>
      <c r="BB35" s="25"/>
      <c r="BC35" s="3"/>
      <c r="BD35" s="3"/>
      <c r="BG35" s="3"/>
    </row>
    <row r="36" spans="1:59" ht="12.75" customHeight="1" thickTop="1">
      <c r="A36" s="8"/>
      <c r="B36" s="479"/>
      <c r="C36" s="234"/>
      <c r="D36" s="30"/>
      <c r="E36" s="30"/>
      <c r="F36" s="234"/>
      <c r="G36" s="234"/>
      <c r="H36" s="234"/>
      <c r="I36" s="238"/>
      <c r="J36" s="234"/>
      <c r="K36" s="234"/>
      <c r="L36" s="234"/>
      <c r="M36" s="238"/>
      <c r="N36" s="234"/>
      <c r="O36" s="234"/>
      <c r="P36" s="234"/>
      <c r="Q36" s="238"/>
      <c r="R36" s="234"/>
      <c r="S36" s="234"/>
      <c r="T36" s="234"/>
      <c r="U36" s="238"/>
      <c r="V36" s="234"/>
      <c r="W36" s="234"/>
      <c r="X36" s="234"/>
      <c r="Y36" s="238"/>
      <c r="Z36" s="234"/>
      <c r="AA36" s="234"/>
      <c r="AB36" s="234"/>
      <c r="AC36" s="238"/>
      <c r="AD36" s="238"/>
      <c r="AE36" s="234"/>
      <c r="AF36" s="234"/>
      <c r="AG36" s="234"/>
      <c r="AH36" s="234"/>
      <c r="AI36" s="234"/>
      <c r="AJ36" s="234"/>
      <c r="AK36" s="234"/>
      <c r="AL36" s="564"/>
      <c r="AM36" s="243"/>
      <c r="AN36" s="243"/>
      <c r="AO36" s="254"/>
      <c r="AP36" s="30"/>
      <c r="AQ36" s="564"/>
      <c r="AR36" s="946"/>
      <c r="AS36" s="946"/>
      <c r="AT36" s="946"/>
      <c r="AU36" s="927"/>
      <c r="AV36" s="927"/>
      <c r="AW36" s="238"/>
      <c r="AX36" s="238"/>
      <c r="AY36" s="28"/>
      <c r="AZ36" s="28"/>
      <c r="BA36" s="157"/>
      <c r="BB36" s="3"/>
      <c r="BC36" s="3"/>
      <c r="BD36" s="3"/>
      <c r="BG36" s="3"/>
    </row>
    <row r="37" spans="1:59" ht="12.75" customHeight="1" hidden="1" outlineLevel="1">
      <c r="A37" s="8"/>
      <c r="B37" s="479" t="s">
        <v>448</v>
      </c>
      <c r="C37" s="242">
        <f t="shared" si="2"/>
        <v>831</v>
      </c>
      <c r="D37" s="30" t="s">
        <v>44</v>
      </c>
      <c r="E37" s="30"/>
      <c r="F37" s="234"/>
      <c r="G37" s="234"/>
      <c r="H37" s="234"/>
      <c r="I37" s="238">
        <f>+-'7 Canada'!I39</f>
        <v>831</v>
      </c>
      <c r="J37" s="853">
        <v>0</v>
      </c>
      <c r="K37" s="853">
        <v>0</v>
      </c>
      <c r="L37" s="853">
        <v>0</v>
      </c>
      <c r="M37" s="910">
        <v>0</v>
      </c>
      <c r="N37" s="853">
        <v>0</v>
      </c>
      <c r="O37" s="853">
        <v>0</v>
      </c>
      <c r="P37" s="853">
        <v>0</v>
      </c>
      <c r="Q37" s="910">
        <v>0</v>
      </c>
      <c r="R37" s="212"/>
      <c r="S37" s="212"/>
      <c r="T37" s="212"/>
      <c r="U37" s="216"/>
      <c r="V37" s="212"/>
      <c r="W37" s="212"/>
      <c r="X37" s="212"/>
      <c r="Y37" s="216"/>
      <c r="Z37" s="212"/>
      <c r="AA37" s="212"/>
      <c r="AB37" s="212"/>
      <c r="AC37" s="216"/>
      <c r="AD37" s="216"/>
      <c r="AE37" s="394"/>
      <c r="AF37" s="394"/>
      <c r="AG37" s="220"/>
      <c r="AH37" s="220"/>
      <c r="AI37" s="220"/>
      <c r="AJ37" s="220"/>
      <c r="AK37" s="220"/>
      <c r="AL37" s="166"/>
      <c r="AM37" s="148"/>
      <c r="AN37" s="148"/>
      <c r="AO37" s="31"/>
      <c r="AP37" s="30"/>
      <c r="AQ37" s="166"/>
      <c r="AR37" s="918">
        <v>0</v>
      </c>
      <c r="AS37" s="918">
        <v>0</v>
      </c>
      <c r="AT37" s="918">
        <v>0</v>
      </c>
      <c r="AU37" s="918">
        <v>0</v>
      </c>
      <c r="AV37" s="918">
        <v>0</v>
      </c>
      <c r="AW37" s="238">
        <v>960</v>
      </c>
      <c r="AX37" s="238">
        <v>-1614</v>
      </c>
      <c r="AY37" s="28">
        <v>1728</v>
      </c>
      <c r="AZ37" s="28">
        <v>0</v>
      </c>
      <c r="BA37" s="157"/>
      <c r="BB37" s="3"/>
      <c r="BC37" s="3"/>
      <c r="BD37" s="3"/>
      <c r="BG37" s="3"/>
    </row>
    <row r="38" spans="1:59" ht="12.75" customHeight="1" hidden="1" outlineLevel="1">
      <c r="A38" s="8"/>
      <c r="B38" s="479" t="s">
        <v>446</v>
      </c>
      <c r="C38" s="250">
        <f t="shared" si="2"/>
        <v>-98</v>
      </c>
      <c r="D38" s="149" t="s">
        <v>44</v>
      </c>
      <c r="E38" s="30"/>
      <c r="F38" s="234"/>
      <c r="G38" s="234"/>
      <c r="H38" s="234"/>
      <c r="I38" s="241">
        <v>-98</v>
      </c>
      <c r="J38" s="948">
        <v>0</v>
      </c>
      <c r="K38" s="948">
        <v>0</v>
      </c>
      <c r="L38" s="948">
        <v>0</v>
      </c>
      <c r="M38" s="949">
        <v>0</v>
      </c>
      <c r="N38" s="948">
        <v>0</v>
      </c>
      <c r="O38" s="948">
        <v>0</v>
      </c>
      <c r="P38" s="948">
        <v>0</v>
      </c>
      <c r="Q38" s="949">
        <v>0</v>
      </c>
      <c r="R38" s="212"/>
      <c r="S38" s="212"/>
      <c r="T38" s="212"/>
      <c r="U38" s="216"/>
      <c r="V38" s="212"/>
      <c r="W38" s="212"/>
      <c r="X38" s="212"/>
      <c r="Y38" s="216"/>
      <c r="Z38" s="212"/>
      <c r="AA38" s="212"/>
      <c r="AB38" s="212"/>
      <c r="AC38" s="216"/>
      <c r="AD38" s="212"/>
      <c r="AE38" s="212"/>
      <c r="AF38" s="212"/>
      <c r="AG38" s="212"/>
      <c r="AH38" s="212"/>
      <c r="AI38" s="212"/>
      <c r="AJ38" s="212"/>
      <c r="AK38" s="212"/>
      <c r="AL38" s="166"/>
      <c r="AM38" s="148"/>
      <c r="AN38" s="148"/>
      <c r="AO38" s="31"/>
      <c r="AP38" s="30"/>
      <c r="AQ38" s="148"/>
      <c r="AR38" s="950">
        <v>0</v>
      </c>
      <c r="AS38" s="950">
        <v>0</v>
      </c>
      <c r="AT38" s="950">
        <v>0</v>
      </c>
      <c r="AU38" s="950">
        <v>0</v>
      </c>
      <c r="AV38" s="950">
        <v>0</v>
      </c>
      <c r="AW38" s="238"/>
      <c r="AX38" s="238"/>
      <c r="AY38" s="28"/>
      <c r="AZ38" s="28"/>
      <c r="BA38" s="157"/>
      <c r="BB38" s="3"/>
      <c r="BC38" s="3"/>
      <c r="BD38" s="3"/>
      <c r="BG38" s="3"/>
    </row>
    <row r="39" spans="1:59" ht="12.75" customHeight="1" collapsed="1">
      <c r="A39" s="8"/>
      <c r="B39" s="7" t="s">
        <v>451</v>
      </c>
      <c r="C39" s="242">
        <f t="shared" si="2"/>
        <v>733</v>
      </c>
      <c r="D39" s="30" t="s">
        <v>44</v>
      </c>
      <c r="E39" s="30"/>
      <c r="F39" s="212"/>
      <c r="G39" s="212"/>
      <c r="H39" s="212"/>
      <c r="I39" s="216">
        <f>+I37+I38</f>
        <v>733</v>
      </c>
      <c r="J39" s="853">
        <v>0</v>
      </c>
      <c r="K39" s="853">
        <v>0</v>
      </c>
      <c r="L39" s="853">
        <v>0</v>
      </c>
      <c r="M39" s="910">
        <v>0</v>
      </c>
      <c r="N39" s="853">
        <v>0</v>
      </c>
      <c r="O39" s="853">
        <v>0</v>
      </c>
      <c r="P39" s="853">
        <v>0</v>
      </c>
      <c r="Q39" s="910">
        <v>0</v>
      </c>
      <c r="R39" s="212"/>
      <c r="S39" s="212"/>
      <c r="T39" s="212"/>
      <c r="U39" s="216"/>
      <c r="V39" s="212"/>
      <c r="W39" s="212"/>
      <c r="X39" s="212"/>
      <c r="Y39" s="216"/>
      <c r="Z39" s="212"/>
      <c r="AA39" s="212"/>
      <c r="AB39" s="212"/>
      <c r="AC39" s="216"/>
      <c r="AD39" s="216"/>
      <c r="AE39" s="394"/>
      <c r="AF39" s="394"/>
      <c r="AG39" s="220"/>
      <c r="AH39" s="220"/>
      <c r="AI39" s="220"/>
      <c r="AJ39" s="220"/>
      <c r="AK39" s="220"/>
      <c r="AL39" s="166"/>
      <c r="AM39" s="148"/>
      <c r="AN39" s="148"/>
      <c r="AO39" s="31"/>
      <c r="AP39" s="30"/>
      <c r="AQ39" s="166"/>
      <c r="AR39" s="918">
        <v>0</v>
      </c>
      <c r="AS39" s="918">
        <v>0</v>
      </c>
      <c r="AT39" s="918">
        <v>0</v>
      </c>
      <c r="AU39" s="918">
        <v>0</v>
      </c>
      <c r="AV39" s="918">
        <v>0</v>
      </c>
      <c r="AW39" s="238"/>
      <c r="AX39" s="238"/>
      <c r="AY39" s="31"/>
      <c r="AZ39" s="28"/>
      <c r="BA39" s="157"/>
      <c r="BB39" s="148"/>
      <c r="BC39" s="148"/>
      <c r="BG39" s="3"/>
    </row>
    <row r="40" spans="1:59" ht="12.75" customHeight="1">
      <c r="A40" s="8"/>
      <c r="B40" s="7"/>
      <c r="C40" s="237"/>
      <c r="D40" s="30"/>
      <c r="E40" s="592"/>
      <c r="F40" s="234"/>
      <c r="G40" s="234"/>
      <c r="H40" s="234"/>
      <c r="I40" s="238"/>
      <c r="J40" s="234"/>
      <c r="K40" s="234"/>
      <c r="L40" s="234"/>
      <c r="M40" s="238"/>
      <c r="N40" s="234"/>
      <c r="O40" s="234"/>
      <c r="P40" s="234"/>
      <c r="Q40" s="238"/>
      <c r="R40" s="234"/>
      <c r="S40" s="234"/>
      <c r="T40" s="234"/>
      <c r="U40" s="238"/>
      <c r="V40" s="234"/>
      <c r="W40" s="234"/>
      <c r="X40" s="234"/>
      <c r="Y40" s="238"/>
      <c r="Z40" s="234"/>
      <c r="AA40" s="240"/>
      <c r="AB40" s="240"/>
      <c r="AC40" s="241"/>
      <c r="AD40" s="234"/>
      <c r="AE40" s="234"/>
      <c r="AF40" s="234"/>
      <c r="AG40" s="238"/>
      <c r="AH40" s="201"/>
      <c r="AI40" s="238"/>
      <c r="AJ40" s="238"/>
      <c r="AK40" s="238"/>
      <c r="AL40" s="203"/>
      <c r="AM40" s="243"/>
      <c r="AN40" s="243"/>
      <c r="AO40" s="254"/>
      <c r="AP40" s="30"/>
      <c r="AQ40" s="245"/>
      <c r="AR40" s="305"/>
      <c r="AS40" s="305"/>
      <c r="AT40" s="305"/>
      <c r="AU40" s="207"/>
      <c r="AV40" s="207"/>
      <c r="AW40" s="201"/>
      <c r="AX40" s="201"/>
      <c r="AY40" s="43"/>
      <c r="AZ40" s="43"/>
      <c r="BA40" s="360"/>
      <c r="BB40" s="3"/>
      <c r="BC40" s="3"/>
      <c r="BD40" s="3"/>
      <c r="BG40" s="3"/>
    </row>
    <row r="41" spans="1:59" s="96" customFormat="1" ht="12.75" customHeight="1" thickBot="1">
      <c r="A41" s="1443" t="s">
        <v>82</v>
      </c>
      <c r="B41" s="1444"/>
      <c r="C41" s="472" t="e">
        <f>I41-M41</f>
        <v>#REF!</v>
      </c>
      <c r="D41" s="182" t="e">
        <f>IF(OR((C41/M41)&gt;3,(C41/M41)&lt;-3),"n.m.",(C41/M41))</f>
        <v>#REF!</v>
      </c>
      <c r="E41" s="592"/>
      <c r="F41" s="252"/>
      <c r="G41" s="252"/>
      <c r="H41" s="252"/>
      <c r="I41" s="253" t="e">
        <f>+I35-I37-I38</f>
        <v>#REF!</v>
      </c>
      <c r="J41" s="252" t="e">
        <f aca="true" t="shared" si="16" ref="J41:Q41">+J35-J37-J38</f>
        <v>#REF!</v>
      </c>
      <c r="K41" s="252" t="e">
        <f t="shared" si="16"/>
        <v>#REF!</v>
      </c>
      <c r="L41" s="252" t="e">
        <f t="shared" si="16"/>
        <v>#REF!</v>
      </c>
      <c r="M41" s="253" t="e">
        <f t="shared" si="16"/>
        <v>#REF!</v>
      </c>
      <c r="N41" s="252" t="e">
        <f t="shared" si="16"/>
        <v>#REF!</v>
      </c>
      <c r="O41" s="252" t="e">
        <f t="shared" si="16"/>
        <v>#REF!</v>
      </c>
      <c r="P41" s="252" t="e">
        <f t="shared" si="16"/>
        <v>#REF!</v>
      </c>
      <c r="Q41" s="253" t="e">
        <f t="shared" si="16"/>
        <v>#REF!</v>
      </c>
      <c r="R41" s="252"/>
      <c r="S41" s="252"/>
      <c r="T41" s="252"/>
      <c r="U41" s="253"/>
      <c r="V41" s="252">
        <v>1348</v>
      </c>
      <c r="W41" s="252">
        <v>592</v>
      </c>
      <c r="X41" s="252">
        <v>4517</v>
      </c>
      <c r="Y41" s="253">
        <v>2142</v>
      </c>
      <c r="Z41" s="252">
        <v>-3222</v>
      </c>
      <c r="AA41" s="478">
        <v>-35967</v>
      </c>
      <c r="AB41" s="478">
        <v>-3881</v>
      </c>
      <c r="AC41" s="480">
        <v>756</v>
      </c>
      <c r="AD41" s="252">
        <v>-4551</v>
      </c>
      <c r="AE41" s="252">
        <v>-642</v>
      </c>
      <c r="AF41" s="252">
        <v>-3182</v>
      </c>
      <c r="AG41" s="253">
        <v>1096</v>
      </c>
      <c r="AH41" s="209">
        <v>-3204</v>
      </c>
      <c r="AI41" s="253">
        <v>-1632</v>
      </c>
      <c r="AJ41" s="253">
        <v>-477</v>
      </c>
      <c r="AK41" s="253">
        <v>2188</v>
      </c>
      <c r="AL41" s="203"/>
      <c r="AM41" s="243"/>
      <c r="AN41" s="243"/>
      <c r="AO41" s="384">
        <v>8599</v>
      </c>
      <c r="AP41" s="182" t="e">
        <v>#DIV/0!</v>
      </c>
      <c r="AQ41" s="245"/>
      <c r="AR41" s="387" t="e">
        <f>+AR35-AR37-AR38</f>
        <v>#REF!</v>
      </c>
      <c r="AS41" s="387" t="e">
        <f>+AS35-AS37-AS38</f>
        <v>#REF!</v>
      </c>
      <c r="AT41" s="387">
        <f>+AT35-AT37-AT38</f>
        <v>16755</v>
      </c>
      <c r="AU41" s="209">
        <f>+AU35-AU37-AU38</f>
        <v>8631</v>
      </c>
      <c r="AV41" s="209">
        <f>+AV35-AV37-AV38</f>
        <v>-42000</v>
      </c>
      <c r="AW41" s="209">
        <v>-8319</v>
      </c>
      <c r="AX41" s="209">
        <v>-2016</v>
      </c>
      <c r="AY41" s="356">
        <f>AY35-AY37</f>
        <v>1353</v>
      </c>
      <c r="AZ41" s="356">
        <f>AZ35-AZ37</f>
        <v>0</v>
      </c>
      <c r="BA41" s="356">
        <v>0</v>
      </c>
      <c r="BB41" s="3"/>
      <c r="BC41" s="210"/>
      <c r="BD41" s="210"/>
      <c r="BG41" s="210"/>
    </row>
    <row r="42" spans="1:59" s="96" customFormat="1" ht="12.75" customHeight="1" thickTop="1">
      <c r="A42" s="143"/>
      <c r="B42" s="142"/>
      <c r="C42" s="234"/>
      <c r="D42" s="41"/>
      <c r="E42" s="41"/>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45"/>
      <c r="AM42" s="245"/>
      <c r="AN42" s="245"/>
      <c r="AO42" s="234"/>
      <c r="AP42" s="41"/>
      <c r="AQ42" s="245"/>
      <c r="AR42" s="243"/>
      <c r="AS42" s="243"/>
      <c r="AT42" s="243"/>
      <c r="AU42" s="234"/>
      <c r="AV42" s="898"/>
      <c r="AW42" s="897"/>
      <c r="AX42" s="234"/>
      <c r="AY42" s="31"/>
      <c r="AZ42" s="31"/>
      <c r="BA42" s="31"/>
      <c r="BB42" s="3"/>
      <c r="BC42" s="210"/>
      <c r="BD42" s="210"/>
      <c r="BG42" s="210"/>
    </row>
    <row r="43" spans="1:59" s="96" customFormat="1" ht="12.75" customHeight="1">
      <c r="A43" s="7" t="s">
        <v>401</v>
      </c>
      <c r="B43" s="142"/>
      <c r="C43" s="228" t="e">
        <f aca="true" t="shared" si="17" ref="C43:C49">((I43-M43)*100)</f>
        <v>#REF!</v>
      </c>
      <c r="D43" s="41"/>
      <c r="E43" s="41"/>
      <c r="F43" s="442" t="e">
        <f aca="true" t="shared" si="18" ref="F43:I44">+F19/F$17</f>
        <v>#REF!</v>
      </c>
      <c r="G43" s="442" t="e">
        <f t="shared" si="18"/>
        <v>#REF!</v>
      </c>
      <c r="H43" s="442" t="e">
        <f t="shared" si="18"/>
        <v>#REF!</v>
      </c>
      <c r="I43" s="442" t="e">
        <f t="shared" si="18"/>
        <v>#REF!</v>
      </c>
      <c r="J43" s="442" t="e">
        <f aca="true" t="shared" si="19" ref="J43:L44">+J19/J$17</f>
        <v>#REF!</v>
      </c>
      <c r="K43" s="442" t="e">
        <f t="shared" si="19"/>
        <v>#REF!</v>
      </c>
      <c r="L43" s="442" t="e">
        <f t="shared" si="19"/>
        <v>#REF!</v>
      </c>
      <c r="M43" s="442" t="e">
        <f aca="true" t="shared" si="20" ref="M43:T43">+M19/M$17</f>
        <v>#REF!</v>
      </c>
      <c r="N43" s="442" t="e">
        <f t="shared" si="20"/>
        <v>#REF!</v>
      </c>
      <c r="O43" s="442" t="e">
        <f t="shared" si="20"/>
        <v>#REF!</v>
      </c>
      <c r="P43" s="442" t="e">
        <f t="shared" si="20"/>
        <v>#REF!</v>
      </c>
      <c r="Q43" s="442" t="e">
        <f t="shared" si="20"/>
        <v>#REF!</v>
      </c>
      <c r="R43" s="442">
        <f t="shared" si="20"/>
        <v>0.5150010274676348</v>
      </c>
      <c r="S43" s="442">
        <f t="shared" si="20"/>
        <v>0.5267901559710882</v>
      </c>
      <c r="T43" s="442">
        <f t="shared" si="20"/>
        <v>0.48532688569667665</v>
      </c>
      <c r="U43" s="234"/>
      <c r="V43" s="234"/>
      <c r="W43" s="234"/>
      <c r="X43" s="234"/>
      <c r="Y43" s="234"/>
      <c r="Z43" s="234"/>
      <c r="AA43" s="234"/>
      <c r="AB43" s="234"/>
      <c r="AC43" s="234"/>
      <c r="AD43" s="234"/>
      <c r="AE43" s="234"/>
      <c r="AF43" s="234"/>
      <c r="AG43" s="234"/>
      <c r="AH43" s="234"/>
      <c r="AI43" s="234"/>
      <c r="AJ43" s="234"/>
      <c r="AK43" s="234"/>
      <c r="AL43" s="245"/>
      <c r="AM43" s="442" t="e">
        <f>+AM19/AM$17</f>
        <v>#REF!</v>
      </c>
      <c r="AN43" s="442" t="e">
        <f>+AN19/AN$17</f>
        <v>#REF!</v>
      </c>
      <c r="AO43" s="648" t="e">
        <f aca="true" t="shared" si="21" ref="AO43:AO49">(AR43-AS43)*100</f>
        <v>#REF!</v>
      </c>
      <c r="AP43" s="41"/>
      <c r="AQ43" s="245"/>
      <c r="AR43" s="442" t="e">
        <f aca="true" t="shared" si="22" ref="AR43:AW44">+AR19/AR$17</f>
        <v>#REF!</v>
      </c>
      <c r="AS43" s="442" t="e">
        <f t="shared" si="22"/>
        <v>#REF!</v>
      </c>
      <c r="AT43" s="442">
        <f t="shared" si="22"/>
        <v>0.5107942790321129</v>
      </c>
      <c r="AU43" s="442">
        <f t="shared" si="22"/>
        <v>0.5426172859177231</v>
      </c>
      <c r="AV43" s="442">
        <f t="shared" si="22"/>
        <v>0.46202189311010944</v>
      </c>
      <c r="AW43" s="442">
        <f t="shared" si="22"/>
        <v>0.5259118508768205</v>
      </c>
      <c r="AX43" s="234"/>
      <c r="AY43" s="31"/>
      <c r="AZ43" s="31"/>
      <c r="BA43" s="31"/>
      <c r="BB43" s="3"/>
      <c r="BC43" s="210"/>
      <c r="BD43" s="210"/>
      <c r="BG43" s="210"/>
    </row>
    <row r="44" spans="1:59" s="96" customFormat="1" ht="12.75" customHeight="1">
      <c r="A44" s="7" t="s">
        <v>402</v>
      </c>
      <c r="B44" s="142"/>
      <c r="C44" s="228" t="e">
        <f t="shared" si="17"/>
        <v>#REF!</v>
      </c>
      <c r="D44" s="41"/>
      <c r="E44" s="41"/>
      <c r="F44" s="442" t="e">
        <f t="shared" si="18"/>
        <v>#REF!</v>
      </c>
      <c r="G44" s="442" t="e">
        <f t="shared" si="18"/>
        <v>#REF!</v>
      </c>
      <c r="H44" s="442" t="e">
        <f t="shared" si="18"/>
        <v>#REF!</v>
      </c>
      <c r="I44" s="442" t="e">
        <f t="shared" si="18"/>
        <v>#REF!</v>
      </c>
      <c r="J44" s="442" t="e">
        <f t="shared" si="19"/>
        <v>#REF!</v>
      </c>
      <c r="K44" s="442" t="e">
        <f t="shared" si="19"/>
        <v>#REF!</v>
      </c>
      <c r="L44" s="442" t="e">
        <f t="shared" si="19"/>
        <v>#REF!</v>
      </c>
      <c r="M44" s="442" t="e">
        <f aca="true" t="shared" si="23" ref="M44:T44">+M20/M$17</f>
        <v>#REF!</v>
      </c>
      <c r="N44" s="442" t="e">
        <f t="shared" si="23"/>
        <v>#REF!</v>
      </c>
      <c r="O44" s="442" t="e">
        <f t="shared" si="23"/>
        <v>#REF!</v>
      </c>
      <c r="P44" s="442" t="e">
        <f t="shared" si="23"/>
        <v>#REF!</v>
      </c>
      <c r="Q44" s="442" t="e">
        <f t="shared" si="23"/>
        <v>#REF!</v>
      </c>
      <c r="R44" s="442">
        <f t="shared" si="23"/>
        <v>0.011199397218987602</v>
      </c>
      <c r="S44" s="442">
        <f t="shared" si="23"/>
        <v>0.011412518655078571</v>
      </c>
      <c r="T44" s="442">
        <f t="shared" si="23"/>
        <v>0.06120513914568814</v>
      </c>
      <c r="U44" s="234"/>
      <c r="V44" s="234"/>
      <c r="W44" s="234"/>
      <c r="X44" s="234"/>
      <c r="Y44" s="234"/>
      <c r="Z44" s="234"/>
      <c r="AA44" s="234"/>
      <c r="AB44" s="234"/>
      <c r="AC44" s="234"/>
      <c r="AD44" s="234"/>
      <c r="AE44" s="234"/>
      <c r="AF44" s="234"/>
      <c r="AG44" s="234"/>
      <c r="AH44" s="234"/>
      <c r="AI44" s="234"/>
      <c r="AJ44" s="234"/>
      <c r="AK44" s="234"/>
      <c r="AL44" s="245"/>
      <c r="AM44" s="442" t="e">
        <f>+AM20/AM$17</f>
        <v>#REF!</v>
      </c>
      <c r="AN44" s="442" t="e">
        <f>+AN20/AN$17</f>
        <v>#REF!</v>
      </c>
      <c r="AO44" s="648" t="e">
        <f t="shared" si="21"/>
        <v>#REF!</v>
      </c>
      <c r="AP44" s="41"/>
      <c r="AQ44" s="245"/>
      <c r="AR44" s="442" t="e">
        <f t="shared" si="22"/>
        <v>#REF!</v>
      </c>
      <c r="AS44" s="442" t="e">
        <f t="shared" si="22"/>
        <v>#REF!</v>
      </c>
      <c r="AT44" s="442">
        <f t="shared" si="22"/>
        <v>0.025717369794009175</v>
      </c>
      <c r="AU44" s="442">
        <f t="shared" si="22"/>
        <v>0.00582570680263302</v>
      </c>
      <c r="AV44" s="442">
        <f t="shared" si="22"/>
        <v>0.0019446233097231167</v>
      </c>
      <c r="AW44" s="35">
        <f t="shared" si="22"/>
        <v>-0.008524054180289585</v>
      </c>
      <c r="AX44" s="234"/>
      <c r="AY44" s="31"/>
      <c r="AZ44" s="31"/>
      <c r="BA44" s="31"/>
      <c r="BB44" s="3"/>
      <c r="BC44" s="210"/>
      <c r="BD44" s="210"/>
      <c r="BG44" s="210"/>
    </row>
    <row r="45" spans="1:59" s="96" customFormat="1" ht="12.75" customHeight="1">
      <c r="A45" s="145" t="s">
        <v>84</v>
      </c>
      <c r="B45" s="142"/>
      <c r="C45" s="228" t="e">
        <f t="shared" si="17"/>
        <v>#REF!</v>
      </c>
      <c r="D45" s="35"/>
      <c r="E45" s="35"/>
      <c r="F45" s="35" t="e">
        <f aca="true" t="shared" si="24" ref="F45:K45">F21/F17</f>
        <v>#REF!</v>
      </c>
      <c r="G45" s="35" t="e">
        <f t="shared" si="24"/>
        <v>#REF!</v>
      </c>
      <c r="H45" s="35" t="e">
        <f t="shared" si="24"/>
        <v>#REF!</v>
      </c>
      <c r="I45" s="35" t="e">
        <f t="shared" si="24"/>
        <v>#REF!</v>
      </c>
      <c r="J45" s="35" t="e">
        <f t="shared" si="24"/>
        <v>#REF!</v>
      </c>
      <c r="K45" s="35" t="e">
        <f t="shared" si="24"/>
        <v>#REF!</v>
      </c>
      <c r="L45" s="35" t="e">
        <f aca="true" t="shared" si="25" ref="L45:Q45">L21/L17</f>
        <v>#REF!</v>
      </c>
      <c r="M45" s="35" t="e">
        <f t="shared" si="25"/>
        <v>#REF!</v>
      </c>
      <c r="N45" s="35" t="e">
        <f t="shared" si="25"/>
        <v>#REF!</v>
      </c>
      <c r="O45" s="35" t="e">
        <f t="shared" si="25"/>
        <v>#REF!</v>
      </c>
      <c r="P45" s="35" t="e">
        <f t="shared" si="25"/>
        <v>#REF!</v>
      </c>
      <c r="Q45" s="35" t="e">
        <f t="shared" si="25"/>
        <v>#REF!</v>
      </c>
      <c r="R45" s="35">
        <f>R21/R17</f>
        <v>0.5262004246866224</v>
      </c>
      <c r="S45" s="35">
        <f>S21/S17</f>
        <v>0.5382026746261669</v>
      </c>
      <c r="T45" s="35">
        <f>T21/T17</f>
        <v>0.5465320248423647</v>
      </c>
      <c r="U45" s="35">
        <f>U21/U17</f>
        <v>0.5377068823485359</v>
      </c>
      <c r="V45" s="35">
        <v>0.5614770262275686</v>
      </c>
      <c r="W45" s="35">
        <v>0.5815839067362054</v>
      </c>
      <c r="X45" s="35">
        <v>0.5535056574974284</v>
      </c>
      <c r="Y45" s="35">
        <v>0.5052798116192648</v>
      </c>
      <c r="Z45" s="35">
        <v>0.4945967929351615</v>
      </c>
      <c r="AA45" s="35">
        <v>0.49041311316760416</v>
      </c>
      <c r="AB45" s="35">
        <v>0.4598831175924409</v>
      </c>
      <c r="AC45" s="35">
        <v>0.4287888841184965</v>
      </c>
      <c r="AD45" s="35">
        <v>0.601</v>
      </c>
      <c r="AE45" s="35">
        <v>0.535</v>
      </c>
      <c r="AF45" s="35">
        <v>0.459</v>
      </c>
      <c r="AG45" s="35">
        <v>0.468</v>
      </c>
      <c r="AH45" s="35">
        <v>0.527</v>
      </c>
      <c r="AI45" s="35">
        <v>0.528</v>
      </c>
      <c r="AJ45" s="35">
        <v>0.498</v>
      </c>
      <c r="AK45" s="35">
        <v>0.538</v>
      </c>
      <c r="AL45" s="35"/>
      <c r="AM45" s="35" t="e">
        <f>AM21/AM17</f>
        <v>#REF!</v>
      </c>
      <c r="AN45" s="35" t="e">
        <f>AN21/AN17</f>
        <v>#REF!</v>
      </c>
      <c r="AO45" s="648" t="e">
        <f t="shared" si="21"/>
        <v>#REF!</v>
      </c>
      <c r="AP45" s="615"/>
      <c r="AQ45" s="35"/>
      <c r="AR45" s="35" t="e">
        <f>AR21/AR17</f>
        <v>#REF!</v>
      </c>
      <c r="AS45" s="35" t="e">
        <f>AS21/AS17</f>
        <v>#REF!</v>
      </c>
      <c r="AT45" s="35">
        <f>AT21/AT17</f>
        <v>0.5365116488261221</v>
      </c>
      <c r="AU45" s="35">
        <v>0.5484429927203561</v>
      </c>
      <c r="AV45" s="35">
        <v>0.4639665164198326</v>
      </c>
      <c r="AW45" s="35">
        <v>0.5163682593495074</v>
      </c>
      <c r="AX45" s="35">
        <v>0.524</v>
      </c>
      <c r="AY45" s="358">
        <v>0.456</v>
      </c>
      <c r="AZ45" s="358">
        <v>0</v>
      </c>
      <c r="BA45" s="358">
        <v>0</v>
      </c>
      <c r="BB45" s="3"/>
      <c r="BC45" s="210"/>
      <c r="BD45" s="210"/>
      <c r="BG45" s="210"/>
    </row>
    <row r="46" spans="1:59" s="96" customFormat="1" ht="12.75" customHeight="1">
      <c r="A46" s="145" t="s">
        <v>390</v>
      </c>
      <c r="B46" s="142"/>
      <c r="C46" s="228" t="e">
        <f t="shared" si="17"/>
        <v>#REF!</v>
      </c>
      <c r="D46" s="35"/>
      <c r="E46" s="35"/>
      <c r="F46" s="35" t="e">
        <f aca="true" t="shared" si="26" ref="F46:K46">(F21+F22)/F17</f>
        <v>#REF!</v>
      </c>
      <c r="G46" s="35" t="e">
        <f t="shared" si="26"/>
        <v>#REF!</v>
      </c>
      <c r="H46" s="35" t="e">
        <f t="shared" si="26"/>
        <v>#REF!</v>
      </c>
      <c r="I46" s="35" t="e">
        <f t="shared" si="26"/>
        <v>#REF!</v>
      </c>
      <c r="J46" s="35" t="e">
        <f t="shared" si="26"/>
        <v>#REF!</v>
      </c>
      <c r="K46" s="35" t="e">
        <f t="shared" si="26"/>
        <v>#REF!</v>
      </c>
      <c r="L46" s="35" t="e">
        <f aca="true" t="shared" si="27" ref="L46:Q46">(L21+L22)/L17</f>
        <v>#REF!</v>
      </c>
      <c r="M46" s="35" t="e">
        <f t="shared" si="27"/>
        <v>#REF!</v>
      </c>
      <c r="N46" s="35" t="e">
        <f t="shared" si="27"/>
        <v>#REF!</v>
      </c>
      <c r="O46" s="35" t="e">
        <f t="shared" si="27"/>
        <v>#REF!</v>
      </c>
      <c r="P46" s="35" t="e">
        <f t="shared" si="27"/>
        <v>#REF!</v>
      </c>
      <c r="Q46" s="35" t="e">
        <f t="shared" si="27"/>
        <v>#REF!</v>
      </c>
      <c r="R46" s="35">
        <f>(R21+R22)/R17</f>
        <v>0.566237413521474</v>
      </c>
      <c r="S46" s="35">
        <f>(S21+S22)/S17</f>
        <v>0.574781260059111</v>
      </c>
      <c r="T46" s="35">
        <f>(T21+T22)/T17</f>
        <v>0.6088749822215901</v>
      </c>
      <c r="U46" s="35">
        <f>(U21+U22)/U17</f>
        <v>0.5821538231109114</v>
      </c>
      <c r="V46" s="35">
        <v>0.6084105699073161</v>
      </c>
      <c r="W46" s="35">
        <v>0.6337380023666564</v>
      </c>
      <c r="X46" s="35">
        <v>0.5906360951654113</v>
      </c>
      <c r="Y46" s="35">
        <v>0.5452003384966334</v>
      </c>
      <c r="Z46" s="35">
        <v>0.5641993957703928</v>
      </c>
      <c r="AA46" s="35">
        <v>0.5644468638480614</v>
      </c>
      <c r="AB46" s="35">
        <v>0.5268447211753783</v>
      </c>
      <c r="AC46" s="35">
        <v>0.48784200460559696</v>
      </c>
      <c r="AD46" s="35">
        <v>0.641</v>
      </c>
      <c r="AE46" s="35">
        <v>0.579</v>
      </c>
      <c r="AF46" s="35">
        <v>0.519</v>
      </c>
      <c r="AG46" s="35">
        <v>0.515</v>
      </c>
      <c r="AH46" s="35">
        <v>0.594</v>
      </c>
      <c r="AI46" s="35">
        <v>0.593</v>
      </c>
      <c r="AJ46" s="35">
        <v>0.542</v>
      </c>
      <c r="AK46" s="35">
        <v>0.611</v>
      </c>
      <c r="AL46" s="35"/>
      <c r="AM46" s="35" t="e">
        <f>(AM21+AM22)/AM17</f>
        <v>#REF!</v>
      </c>
      <c r="AN46" s="35" t="e">
        <f>(AN21+AN22)/AN17</f>
        <v>#REF!</v>
      </c>
      <c r="AO46" s="648" t="e">
        <f t="shared" si="21"/>
        <v>#REF!</v>
      </c>
      <c r="AP46" s="615"/>
      <c r="AQ46" s="35"/>
      <c r="AR46" s="35" t="e">
        <f>(AR21+AR22)/AR17</f>
        <v>#REF!</v>
      </c>
      <c r="AS46" s="35" t="e">
        <f>(AS21+AS22)/AS17</f>
        <v>#REF!</v>
      </c>
      <c r="AT46" s="35">
        <f>(AT21+AT22)/AT17</f>
        <v>0.5807771880903121</v>
      </c>
      <c r="AU46" s="35">
        <v>0.5917225171036776</v>
      </c>
      <c r="AV46" s="35">
        <v>0.5304314230521571</v>
      </c>
      <c r="AW46" s="35">
        <v>0.5638626973196313</v>
      </c>
      <c r="AX46" s="35">
        <v>0.587</v>
      </c>
      <c r="AY46" s="358">
        <v>0.536</v>
      </c>
      <c r="AZ46" s="358">
        <v>0</v>
      </c>
      <c r="BA46" s="358">
        <v>0</v>
      </c>
      <c r="BB46" s="3"/>
      <c r="BC46" s="210"/>
      <c r="BD46" s="210"/>
      <c r="BG46" s="210"/>
    </row>
    <row r="47" spans="1:59" s="96" customFormat="1" ht="12.75" customHeight="1">
      <c r="A47" s="145" t="s">
        <v>85</v>
      </c>
      <c r="B47" s="142"/>
      <c r="C47" s="228" t="e">
        <f t="shared" si="17"/>
        <v>#REF!</v>
      </c>
      <c r="D47" s="35"/>
      <c r="E47" s="35"/>
      <c r="F47" s="35" t="e">
        <f aca="true" t="shared" si="28" ref="F47:S47">(F34-F21-F22)/F17</f>
        <v>#REF!</v>
      </c>
      <c r="G47" s="35" t="e">
        <f t="shared" si="28"/>
        <v>#REF!</v>
      </c>
      <c r="H47" s="35" t="e">
        <f t="shared" si="28"/>
        <v>#REF!</v>
      </c>
      <c r="I47" s="35" t="e">
        <f t="shared" si="28"/>
        <v>#REF!</v>
      </c>
      <c r="J47" s="35" t="e">
        <f t="shared" si="28"/>
        <v>#REF!</v>
      </c>
      <c r="K47" s="35" t="e">
        <f t="shared" si="28"/>
        <v>#REF!</v>
      </c>
      <c r="L47" s="35" t="e">
        <f t="shared" si="28"/>
        <v>#REF!</v>
      </c>
      <c r="M47" s="35" t="e">
        <f t="shared" si="28"/>
        <v>#REF!</v>
      </c>
      <c r="N47" s="35" t="e">
        <f t="shared" si="28"/>
        <v>#REF!</v>
      </c>
      <c r="O47" s="35" t="e">
        <f t="shared" si="28"/>
        <v>#REF!</v>
      </c>
      <c r="P47" s="35" t="e">
        <f t="shared" si="28"/>
        <v>#REF!</v>
      </c>
      <c r="Q47" s="35" t="e">
        <f t="shared" si="28"/>
        <v>#REF!</v>
      </c>
      <c r="R47" s="35">
        <f t="shared" si="28"/>
        <v>0.23912596753202275</v>
      </c>
      <c r="S47" s="35">
        <f t="shared" si="28"/>
        <v>0.23732186228894156</v>
      </c>
      <c r="T47" s="35">
        <f>(T24+T25+T26+T27+T28+T29+T30+T31+T33)/T17</f>
        <v>0.3596453799838809</v>
      </c>
      <c r="U47" s="35">
        <f>(U24+U25+U26+U27+U28+U29+U30+U31+U33)/U17</f>
        <v>0.26855388302254174</v>
      </c>
      <c r="V47" s="35">
        <v>0.32513310984026816</v>
      </c>
      <c r="W47" s="35">
        <v>0.34031643073147216</v>
      </c>
      <c r="X47" s="35">
        <v>0.2617048810432359</v>
      </c>
      <c r="Y47" s="35">
        <v>0.37234629677324405</v>
      </c>
      <c r="Z47" s="35">
        <v>0.6199744364396932</v>
      </c>
      <c r="AA47" s="35">
        <v>2.6110203834754735</v>
      </c>
      <c r="AB47" s="35">
        <v>0.683762084220875</v>
      </c>
      <c r="AC47" s="35">
        <v>0.4724249638968034</v>
      </c>
      <c r="AD47" s="35">
        <v>0.55</v>
      </c>
      <c r="AE47" s="35">
        <v>0.44799999999999995</v>
      </c>
      <c r="AF47" s="35">
        <v>0.63</v>
      </c>
      <c r="AG47" s="35">
        <v>0.44199999999999995</v>
      </c>
      <c r="AH47" s="35">
        <v>0.5630000000000001</v>
      </c>
      <c r="AI47" s="35">
        <v>0.495</v>
      </c>
      <c r="AJ47" s="35">
        <v>0.4829999999999999</v>
      </c>
      <c r="AK47" s="35">
        <v>0.29800000000000004</v>
      </c>
      <c r="AL47" s="35"/>
      <c r="AM47" s="35" t="e">
        <f>(AM34-AM21-AM22)/AM17</f>
        <v>#REF!</v>
      </c>
      <c r="AN47" s="35" t="e">
        <f>(AN34-AN21-AN22)/AN17</f>
        <v>#REF!</v>
      </c>
      <c r="AO47" s="648" t="e">
        <f t="shared" si="21"/>
        <v>#REF!</v>
      </c>
      <c r="AP47" s="615"/>
      <c r="AQ47" s="35"/>
      <c r="AR47" s="35" t="e">
        <f>(AR24+AR25+AR26+AR27+AR28+AR29+AR30+AR31+AR33)/AR17</f>
        <v>#REF!</v>
      </c>
      <c r="AS47" s="35" t="e">
        <f>(AS24+AS25+AS26+AS27+AS28+AS29+AS30+AS31+AS33)/AS17</f>
        <v>#REF!</v>
      </c>
      <c r="AT47" s="35">
        <f>(AT24+AT25+AT26+AT27+AT28+AT29+AT30+AT31+AT33)/AT17</f>
        <v>0.2685076909238104</v>
      </c>
      <c r="AU47" s="35">
        <v>0.3223259009928598</v>
      </c>
      <c r="AV47" s="35">
        <v>1.0104571796522859</v>
      </c>
      <c r="AW47" s="35">
        <v>0.5121305223010912</v>
      </c>
      <c r="AX47" s="35">
        <v>0.45</v>
      </c>
      <c r="AY47" s="358">
        <v>0.30599999999999994</v>
      </c>
      <c r="AZ47" s="358">
        <v>0</v>
      </c>
      <c r="BA47" s="358">
        <v>0</v>
      </c>
      <c r="BB47" s="3"/>
      <c r="BC47" s="210"/>
      <c r="BD47" s="210"/>
      <c r="BG47" s="210"/>
    </row>
    <row r="48" spans="1:59" s="96" customFormat="1" ht="12.75" customHeight="1">
      <c r="A48" s="145" t="s">
        <v>86</v>
      </c>
      <c r="B48" s="142"/>
      <c r="C48" s="228" t="e">
        <f t="shared" si="17"/>
        <v>#REF!</v>
      </c>
      <c r="D48" s="35"/>
      <c r="E48" s="35"/>
      <c r="F48" s="35" t="e">
        <f aca="true" t="shared" si="29" ref="F48:N48">F34/F17</f>
        <v>#REF!</v>
      </c>
      <c r="G48" s="35" t="e">
        <f t="shared" si="29"/>
        <v>#REF!</v>
      </c>
      <c r="H48" s="35" t="e">
        <f t="shared" si="29"/>
        <v>#REF!</v>
      </c>
      <c r="I48" s="35" t="e">
        <f t="shared" si="29"/>
        <v>#REF!</v>
      </c>
      <c r="J48" s="35" t="e">
        <f t="shared" si="29"/>
        <v>#REF!</v>
      </c>
      <c r="K48" s="35" t="e">
        <f t="shared" si="29"/>
        <v>#REF!</v>
      </c>
      <c r="L48" s="35" t="e">
        <f t="shared" si="29"/>
        <v>#REF!</v>
      </c>
      <c r="M48" s="35" t="e">
        <f t="shared" si="29"/>
        <v>#REF!</v>
      </c>
      <c r="N48" s="35" t="e">
        <f t="shared" si="29"/>
        <v>#REF!</v>
      </c>
      <c r="O48" s="35" t="e">
        <f aca="true" t="shared" si="30" ref="O48:U48">O34/O17</f>
        <v>#REF!</v>
      </c>
      <c r="P48" s="35" t="e">
        <f t="shared" si="30"/>
        <v>#REF!</v>
      </c>
      <c r="Q48" s="35" t="e">
        <f t="shared" si="30"/>
        <v>#REF!</v>
      </c>
      <c r="R48" s="35">
        <f t="shared" si="30"/>
        <v>0.8053633810534968</v>
      </c>
      <c r="S48" s="35">
        <f t="shared" si="30"/>
        <v>0.8121031223480526</v>
      </c>
      <c r="T48" s="35">
        <f t="shared" si="30"/>
        <v>0.968520362205471</v>
      </c>
      <c r="U48" s="35">
        <f t="shared" si="30"/>
        <v>0.8507077061334531</v>
      </c>
      <c r="V48" s="35">
        <v>0.9335436797475843</v>
      </c>
      <c r="W48" s="35">
        <v>0.9740544330981286</v>
      </c>
      <c r="X48" s="35">
        <v>0.8523409762086471</v>
      </c>
      <c r="Y48" s="35">
        <v>0.9165466352698775</v>
      </c>
      <c r="Z48" s="35">
        <v>1.184173832210086</v>
      </c>
      <c r="AA48" s="35">
        <v>3.175467247323535</v>
      </c>
      <c r="AB48" s="35">
        <v>1.2106068053962533</v>
      </c>
      <c r="AC48" s="35">
        <v>0.9602669685024003</v>
      </c>
      <c r="AD48" s="35">
        <v>1.191</v>
      </c>
      <c r="AE48" s="35">
        <v>1.027</v>
      </c>
      <c r="AF48" s="35">
        <v>1.149</v>
      </c>
      <c r="AG48" s="35">
        <v>0.957</v>
      </c>
      <c r="AH48" s="35">
        <v>1.157</v>
      </c>
      <c r="AI48" s="35">
        <v>1.088</v>
      </c>
      <c r="AJ48" s="35">
        <v>1.025</v>
      </c>
      <c r="AK48" s="35">
        <v>0.909</v>
      </c>
      <c r="AL48" s="35"/>
      <c r="AM48" s="35" t="e">
        <f>AM34/AM17</f>
        <v>#REF!</v>
      </c>
      <c r="AN48" s="35" t="e">
        <f>AN34/AN17</f>
        <v>#REF!</v>
      </c>
      <c r="AO48" s="648" t="e">
        <f t="shared" si="21"/>
        <v>#REF!</v>
      </c>
      <c r="AP48" s="615"/>
      <c r="AQ48" s="35"/>
      <c r="AR48" s="35" t="e">
        <f>AR34/AR17</f>
        <v>#REF!</v>
      </c>
      <c r="AS48" s="35" t="e">
        <f>AS34/AS17</f>
        <v>#REF!</v>
      </c>
      <c r="AT48" s="35">
        <f>AT34/AT17</f>
        <v>0.8492848790141225</v>
      </c>
      <c r="AU48" s="35">
        <v>0.9140484180965375</v>
      </c>
      <c r="AV48" s="35">
        <v>1.540888602704443</v>
      </c>
      <c r="AW48" s="35">
        <v>1.0759932196207225</v>
      </c>
      <c r="AX48" s="35">
        <v>1.037</v>
      </c>
      <c r="AY48" s="358">
        <v>0.842</v>
      </c>
      <c r="AZ48" s="358">
        <v>0</v>
      </c>
      <c r="BA48" s="358">
        <v>0</v>
      </c>
      <c r="BB48" s="3"/>
      <c r="BC48" s="210"/>
      <c r="BD48" s="210"/>
      <c r="BG48" s="210"/>
    </row>
    <row r="49" spans="1:59" s="96" customFormat="1" ht="12.75" customHeight="1">
      <c r="A49" s="145" t="s">
        <v>87</v>
      </c>
      <c r="B49" s="142"/>
      <c r="C49" s="228" t="e">
        <f t="shared" si="17"/>
        <v>#REF!</v>
      </c>
      <c r="D49" s="35"/>
      <c r="E49" s="35"/>
      <c r="F49" s="35" t="e">
        <f aca="true" t="shared" si="31" ref="F49:N49">F35/F17</f>
        <v>#REF!</v>
      </c>
      <c r="G49" s="35" t="e">
        <f t="shared" si="31"/>
        <v>#REF!</v>
      </c>
      <c r="H49" s="35" t="e">
        <f t="shared" si="31"/>
        <v>#REF!</v>
      </c>
      <c r="I49" s="35" t="e">
        <f t="shared" si="31"/>
        <v>#REF!</v>
      </c>
      <c r="J49" s="35" t="e">
        <f t="shared" si="31"/>
        <v>#REF!</v>
      </c>
      <c r="K49" s="35" t="e">
        <f t="shared" si="31"/>
        <v>#REF!</v>
      </c>
      <c r="L49" s="35" t="e">
        <f t="shared" si="31"/>
        <v>#REF!</v>
      </c>
      <c r="M49" s="35" t="e">
        <f t="shared" si="31"/>
        <v>#REF!</v>
      </c>
      <c r="N49" s="35" t="e">
        <f t="shared" si="31"/>
        <v>#REF!</v>
      </c>
      <c r="O49" s="35" t="e">
        <f aca="true" t="shared" si="32" ref="O49:U49">O35/O17</f>
        <v>#REF!</v>
      </c>
      <c r="P49" s="35" t="e">
        <f t="shared" si="32"/>
        <v>#REF!</v>
      </c>
      <c r="Q49" s="35" t="e">
        <f t="shared" si="32"/>
        <v>#REF!</v>
      </c>
      <c r="R49" s="35">
        <f t="shared" si="32"/>
        <v>0.1946366189465032</v>
      </c>
      <c r="S49" s="35">
        <f t="shared" si="32"/>
        <v>0.18789687765194743</v>
      </c>
      <c r="T49" s="35">
        <f t="shared" si="32"/>
        <v>0.03147963779452899</v>
      </c>
      <c r="U49" s="35">
        <f t="shared" si="32"/>
        <v>0.14929229386654685</v>
      </c>
      <c r="V49" s="35">
        <v>0.0664563202524157</v>
      </c>
      <c r="W49" s="35">
        <v>0.02594556690187141</v>
      </c>
      <c r="X49" s="35">
        <v>0.14765902379135282</v>
      </c>
      <c r="Y49" s="35">
        <v>0.08245336473012252</v>
      </c>
      <c r="Z49" s="35">
        <v>-0.18417383221008599</v>
      </c>
      <c r="AA49" s="35">
        <v>-2.175467247323535</v>
      </c>
      <c r="AB49" s="35">
        <v>-0.21226208707066288</v>
      </c>
      <c r="AC49" s="35">
        <v>0.03973303149759962</v>
      </c>
      <c r="AD49" s="35">
        <v>-0.19240516847397066</v>
      </c>
      <c r="AE49" s="35">
        <v>-0.026999999999999913</v>
      </c>
      <c r="AF49" s="35">
        <v>-0.14900000000000002</v>
      </c>
      <c r="AG49" s="35">
        <v>0.04300000000000004</v>
      </c>
      <c r="AH49" s="35">
        <v>-0.15700000000000003</v>
      </c>
      <c r="AI49" s="35">
        <v>-0.08800000000000008</v>
      </c>
      <c r="AJ49" s="35">
        <v>-0.02499999999999991</v>
      </c>
      <c r="AK49" s="35">
        <v>0.09099999999999997</v>
      </c>
      <c r="AL49" s="35"/>
      <c r="AM49" s="35" t="e">
        <f>AM35/AM17</f>
        <v>#REF!</v>
      </c>
      <c r="AN49" s="35" t="e">
        <f>AN35/AN17</f>
        <v>#REF!</v>
      </c>
      <c r="AO49" s="648" t="e">
        <f t="shared" si="21"/>
        <v>#REF!</v>
      </c>
      <c r="AP49" s="615"/>
      <c r="AQ49" s="35"/>
      <c r="AR49" s="35" t="e">
        <f>AR35/AR17</f>
        <v>#REF!</v>
      </c>
      <c r="AS49" s="35" t="e">
        <f>AS35/AS17</f>
        <v>#REF!</v>
      </c>
      <c r="AT49" s="35">
        <f>AT35/AT17</f>
        <v>0.1507151209858775</v>
      </c>
      <c r="AU49" s="35">
        <v>0.08595158190346257</v>
      </c>
      <c r="AV49" s="35">
        <v>-0.5408886027044431</v>
      </c>
      <c r="AW49" s="35">
        <v>-0.07811770200840729</v>
      </c>
      <c r="AX49" s="35">
        <v>-0.04499646721951582</v>
      </c>
      <c r="AY49" s="358">
        <f>AY35/AY17</f>
        <v>0.15435098441961825</v>
      </c>
      <c r="AZ49" s="358">
        <v>0</v>
      </c>
      <c r="BA49" s="358">
        <v>0</v>
      </c>
      <c r="BB49" s="3"/>
      <c r="BC49" s="210"/>
      <c r="BD49" s="210"/>
      <c r="BG49" s="210"/>
    </row>
    <row r="50" spans="1:59" s="96" customFormat="1" ht="12.75" customHeight="1">
      <c r="A50" s="143"/>
      <c r="B50" s="142"/>
      <c r="C50" s="35"/>
      <c r="D50" s="35"/>
      <c r="E50" s="35"/>
      <c r="F50" s="35"/>
      <c r="G50" s="35"/>
      <c r="H50" s="35"/>
      <c r="I50" s="83"/>
      <c r="J50" s="35"/>
      <c r="K50" s="35"/>
      <c r="L50" s="35"/>
      <c r="M50" s="83"/>
      <c r="N50" s="35"/>
      <c r="O50" s="35"/>
      <c r="P50" s="35"/>
      <c r="Q50" s="83"/>
      <c r="R50" s="35"/>
      <c r="S50" s="35"/>
      <c r="T50" s="35"/>
      <c r="U50" s="83"/>
      <c r="V50" s="35"/>
      <c r="W50" s="35"/>
      <c r="X50" s="35"/>
      <c r="Y50" s="83"/>
      <c r="Z50" s="35"/>
      <c r="AA50" s="35"/>
      <c r="AB50" s="35"/>
      <c r="AC50" s="83"/>
      <c r="AD50" s="83"/>
      <c r="AE50" s="83"/>
      <c r="AF50" s="83"/>
      <c r="AG50" s="83"/>
      <c r="AH50" s="83"/>
      <c r="AI50" s="83"/>
      <c r="AJ50" s="83"/>
      <c r="AK50" s="83"/>
      <c r="AL50" s="35"/>
      <c r="AM50" s="35"/>
      <c r="AN50" s="35"/>
      <c r="AO50" s="615">
        <f>AR50-AS50</f>
        <v>0</v>
      </c>
      <c r="AP50" s="615"/>
      <c r="AQ50" s="35"/>
      <c r="AR50" s="615"/>
      <c r="AS50" s="615"/>
      <c r="AT50" s="615"/>
      <c r="AU50" s="35"/>
      <c r="AV50" s="35"/>
      <c r="AW50" s="83"/>
      <c r="AX50" s="83"/>
      <c r="AY50" s="358"/>
      <c r="AZ50" s="358"/>
      <c r="BA50" s="358"/>
      <c r="BB50" s="3"/>
      <c r="BC50" s="210"/>
      <c r="BD50" s="210"/>
      <c r="BG50" s="210"/>
    </row>
    <row r="51" spans="1:59" s="96" customFormat="1" ht="12.75" customHeight="1">
      <c r="A51" s="83" t="s">
        <v>100</v>
      </c>
      <c r="B51" s="142"/>
      <c r="C51" s="167">
        <f>I51-M51</f>
        <v>-40</v>
      </c>
      <c r="D51" s="41">
        <f>IF(OR((C51/M51)&gt;3,(C51/M51)&lt;-3),"n.m.",(C51/M51))</f>
        <v>-0.13157894736842105</v>
      </c>
      <c r="E51" s="41"/>
      <c r="F51" s="180"/>
      <c r="G51" s="180"/>
      <c r="H51" s="180"/>
      <c r="I51" s="180">
        <f>+'12 Misc Operating Stats'!I22</f>
        <v>264</v>
      </c>
      <c r="J51" s="180">
        <f>+'12 Misc Operating Stats'!J22</f>
        <v>253</v>
      </c>
      <c r="K51" s="180">
        <f>+'12 Misc Operating Stats'!K22</f>
        <v>259</v>
      </c>
      <c r="L51" s="180">
        <f>+'12 Misc Operating Stats'!L22</f>
        <v>252</v>
      </c>
      <c r="M51" s="180">
        <f>+'12 Misc Operating Stats'!M22</f>
        <v>304</v>
      </c>
      <c r="N51" s="180">
        <f>'12 Misc Operating Stats'!N22</f>
        <v>302</v>
      </c>
      <c r="O51" s="180">
        <f>'12 Misc Operating Stats'!O22</f>
        <v>176</v>
      </c>
      <c r="P51" s="180">
        <f>'12 Misc Operating Stats'!P22</f>
        <v>186</v>
      </c>
      <c r="Q51" s="180">
        <f>'12 Misc Operating Stats'!Q22</f>
        <v>180</v>
      </c>
      <c r="R51" s="180">
        <v>175</v>
      </c>
      <c r="S51" s="180">
        <v>175</v>
      </c>
      <c r="T51" s="180">
        <v>178</v>
      </c>
      <c r="U51" s="180">
        <v>169</v>
      </c>
      <c r="V51" s="180">
        <v>163</v>
      </c>
      <c r="W51" s="180">
        <v>162</v>
      </c>
      <c r="X51" s="180">
        <v>157</v>
      </c>
      <c r="Y51" s="180">
        <v>152</v>
      </c>
      <c r="Z51" s="148">
        <v>151</v>
      </c>
      <c r="AA51" s="83">
        <v>152</v>
      </c>
      <c r="AB51" s="83">
        <v>176</v>
      </c>
      <c r="AC51" s="83">
        <v>169</v>
      </c>
      <c r="AD51" s="83">
        <v>163</v>
      </c>
      <c r="AE51" s="83">
        <v>161</v>
      </c>
      <c r="AF51" s="83">
        <v>162</v>
      </c>
      <c r="AG51" s="83">
        <v>170</v>
      </c>
      <c r="AH51" s="83">
        <v>163</v>
      </c>
      <c r="AI51" s="83">
        <v>170</v>
      </c>
      <c r="AJ51" s="83">
        <v>164</v>
      </c>
      <c r="AK51" s="83">
        <v>154</v>
      </c>
      <c r="AL51" s="245"/>
      <c r="AM51" s="724">
        <f>K51</f>
        <v>259</v>
      </c>
      <c r="AN51" s="724">
        <f>O51</f>
        <v>176</v>
      </c>
      <c r="AO51" s="660">
        <f>AR51-AS51</f>
        <v>-49</v>
      </c>
      <c r="AP51" s="41">
        <f>AO51/AS51</f>
        <v>-0.16225165562913907</v>
      </c>
      <c r="AQ51" s="245"/>
      <c r="AR51" s="645">
        <f>J51</f>
        <v>253</v>
      </c>
      <c r="AS51" s="645">
        <f>N51</f>
        <v>302</v>
      </c>
      <c r="AT51" s="645">
        <v>175</v>
      </c>
      <c r="AU51" s="180">
        <v>163</v>
      </c>
      <c r="AV51" s="180">
        <v>151</v>
      </c>
      <c r="AW51" s="180">
        <v>163</v>
      </c>
      <c r="AX51" s="180">
        <v>163</v>
      </c>
      <c r="AY51" s="352">
        <v>150</v>
      </c>
      <c r="AZ51" s="352">
        <v>0</v>
      </c>
      <c r="BA51" s="352">
        <v>0</v>
      </c>
      <c r="BB51" s="3"/>
      <c r="BC51" s="210"/>
      <c r="BD51" s="210"/>
      <c r="BG51" s="210"/>
    </row>
    <row r="52" spans="1:59" s="96" customFormat="1" ht="12.75" customHeight="1">
      <c r="A52" s="83"/>
      <c r="B52" s="142"/>
      <c r="C52" s="167"/>
      <c r="D52" s="41"/>
      <c r="E52" s="41"/>
      <c r="F52" s="83"/>
      <c r="G52" s="83"/>
      <c r="H52" s="83"/>
      <c r="I52" s="83"/>
      <c r="J52" s="83"/>
      <c r="K52" s="83"/>
      <c r="L52" s="83"/>
      <c r="M52" s="83"/>
      <c r="N52" s="148"/>
      <c r="O52" s="83"/>
      <c r="P52" s="83"/>
      <c r="Q52" s="83"/>
      <c r="R52" s="148"/>
      <c r="S52" s="83"/>
      <c r="T52" s="83"/>
      <c r="U52" s="83"/>
      <c r="V52" s="148"/>
      <c r="W52" s="83"/>
      <c r="X52" s="83"/>
      <c r="Y52" s="83"/>
      <c r="Z52" s="148"/>
      <c r="AA52" s="83"/>
      <c r="AB52" s="83"/>
      <c r="AC52" s="83"/>
      <c r="AD52" s="83"/>
      <c r="AE52" s="83"/>
      <c r="AF52" s="83"/>
      <c r="AG52" s="83"/>
      <c r="AH52" s="83"/>
      <c r="AI52" s="83"/>
      <c r="AJ52" s="83"/>
      <c r="AK52" s="83"/>
      <c r="AL52" s="245"/>
      <c r="AM52" s="245"/>
      <c r="AN52" s="245"/>
      <c r="AO52" s="106"/>
      <c r="AP52" s="41"/>
      <c r="AQ52" s="245"/>
      <c r="AR52" s="106"/>
      <c r="AS52" s="106"/>
      <c r="AT52" s="106"/>
      <c r="AU52" s="33"/>
      <c r="AV52" s="33"/>
      <c r="AW52" s="83"/>
      <c r="AX52" s="83"/>
      <c r="AY52" s="352"/>
      <c r="AZ52" s="352"/>
      <c r="BA52" s="352"/>
      <c r="BB52" s="3"/>
      <c r="BC52" s="210"/>
      <c r="BD52" s="210"/>
      <c r="BG52" s="210"/>
    </row>
    <row r="53" spans="1:59" ht="18" customHeight="1">
      <c r="A53" s="12" t="s">
        <v>324</v>
      </c>
      <c r="B53" s="689"/>
      <c r="C53" s="83"/>
      <c r="D53" s="83"/>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83"/>
      <c r="AG53" s="83"/>
      <c r="AH53" s="83"/>
      <c r="AI53" s="83"/>
      <c r="AJ53" s="83"/>
      <c r="AK53" s="83"/>
      <c r="AL53" s="83"/>
      <c r="AM53" s="83"/>
      <c r="AN53" s="83"/>
      <c r="AO53" s="633"/>
      <c r="AP53" s="633"/>
      <c r="AQ53" s="83"/>
      <c r="AR53" s="633"/>
      <c r="AS53" s="633"/>
      <c r="AT53" s="633"/>
      <c r="AU53" s="83"/>
      <c r="AV53" s="83"/>
      <c r="AW53" s="83"/>
      <c r="AX53" s="83"/>
      <c r="AY53" s="357"/>
      <c r="AZ53" s="357"/>
      <c r="BA53" s="357"/>
      <c r="BB53" s="3"/>
      <c r="BC53" s="3"/>
      <c r="BD53" s="3"/>
      <c r="BG53" s="3"/>
    </row>
    <row r="54" spans="1:59" ht="12.75" customHeight="1">
      <c r="A54" s="193"/>
      <c r="B54" s="7"/>
      <c r="C54" s="83"/>
      <c r="D54" s="83"/>
      <c r="E54" s="148"/>
      <c r="F54" s="148"/>
      <c r="G54" s="148"/>
      <c r="H54" s="148"/>
      <c r="I54" s="148"/>
      <c r="J54" s="148"/>
      <c r="K54" s="148"/>
      <c r="L54" s="148"/>
      <c r="M54" s="148"/>
      <c r="N54" s="468"/>
      <c r="O54" s="148"/>
      <c r="P54" s="148"/>
      <c r="Q54" s="148"/>
      <c r="R54" s="468"/>
      <c r="S54" s="148"/>
      <c r="T54" s="468"/>
      <c r="U54" s="148"/>
      <c r="V54" s="468"/>
      <c r="W54" s="148"/>
      <c r="X54" s="468"/>
      <c r="Y54" s="148"/>
      <c r="Z54" s="468"/>
      <c r="AA54" s="148"/>
      <c r="AB54" s="148"/>
      <c r="AC54" s="148"/>
      <c r="AD54" s="148"/>
      <c r="AE54" s="148"/>
      <c r="AF54" s="83"/>
      <c r="AG54" s="83"/>
      <c r="AH54" s="83"/>
      <c r="AI54" s="83"/>
      <c r="AJ54" s="83"/>
      <c r="AK54" s="83"/>
      <c r="AL54" s="83"/>
      <c r="AM54" s="83"/>
      <c r="AN54" s="83"/>
      <c r="AO54" s="633"/>
      <c r="AP54" s="633"/>
      <c r="AQ54" s="83"/>
      <c r="AR54" s="633"/>
      <c r="AS54" s="633"/>
      <c r="AT54" s="633"/>
      <c r="AU54" s="83"/>
      <c r="AV54" s="83"/>
      <c r="AW54" s="83"/>
      <c r="AX54" s="83"/>
      <c r="AY54" s="357"/>
      <c r="AZ54" s="357"/>
      <c r="BA54" s="357"/>
      <c r="BB54" s="3"/>
      <c r="BC54" s="3"/>
      <c r="BD54" s="3"/>
      <c r="BG54" s="3"/>
    </row>
    <row r="55" spans="1:59" ht="12.75" customHeight="1">
      <c r="A55" s="6"/>
      <c r="B55" s="7"/>
      <c r="C55" s="1437" t="s">
        <v>428</v>
      </c>
      <c r="D55" s="1438"/>
      <c r="E55" s="259"/>
      <c r="F55" s="477"/>
      <c r="G55" s="477"/>
      <c r="H55" s="477"/>
      <c r="I55" s="19"/>
      <c r="J55" s="477"/>
      <c r="K55" s="477"/>
      <c r="L55" s="477"/>
      <c r="M55" s="19"/>
      <c r="N55" s="17"/>
      <c r="O55" s="18"/>
      <c r="P55" s="477"/>
      <c r="Q55" s="19"/>
      <c r="R55" s="17"/>
      <c r="S55" s="18"/>
      <c r="T55" s="477"/>
      <c r="U55" s="19"/>
      <c r="W55" s="18"/>
      <c r="X55" s="2"/>
      <c r="Y55" s="19"/>
      <c r="Z55" s="18"/>
      <c r="AB55" s="477"/>
      <c r="AC55" s="19"/>
      <c r="AD55" s="18"/>
      <c r="AE55" s="18"/>
      <c r="AF55" s="18"/>
      <c r="AG55" s="18"/>
      <c r="AH55" s="22"/>
      <c r="AI55" s="19"/>
      <c r="AJ55" s="19"/>
      <c r="AK55" s="19"/>
      <c r="AL55" s="24"/>
      <c r="AM55" s="725" t="s">
        <v>406</v>
      </c>
      <c r="AN55" s="711"/>
      <c r="AO55" s="711" t="s">
        <v>386</v>
      </c>
      <c r="AP55" s="712"/>
      <c r="AQ55" s="15"/>
      <c r="AR55" s="669"/>
      <c r="AS55" s="669"/>
      <c r="AT55" s="669"/>
      <c r="AU55" s="88"/>
      <c r="AV55" s="88"/>
      <c r="AW55" s="196"/>
      <c r="AX55" s="194"/>
      <c r="AY55" s="88"/>
      <c r="AZ55" s="88"/>
      <c r="BA55" s="669"/>
      <c r="BB55" s="25"/>
      <c r="BC55" s="3"/>
      <c r="BD55" s="3"/>
      <c r="BG55" s="3"/>
    </row>
    <row r="56" spans="1:59" ht="12.75" customHeight="1">
      <c r="A56" s="6" t="s">
        <v>107</v>
      </c>
      <c r="B56" s="7"/>
      <c r="C56" s="1439" t="s">
        <v>41</v>
      </c>
      <c r="D56" s="1440"/>
      <c r="E56" s="603"/>
      <c r="F56" s="21" t="s">
        <v>431</v>
      </c>
      <c r="G56" s="21" t="s">
        <v>430</v>
      </c>
      <c r="H56" s="21" t="s">
        <v>429</v>
      </c>
      <c r="I56" s="14" t="s">
        <v>427</v>
      </c>
      <c r="J56" s="21" t="s">
        <v>362</v>
      </c>
      <c r="K56" s="21" t="s">
        <v>363</v>
      </c>
      <c r="L56" s="21" t="s">
        <v>364</v>
      </c>
      <c r="M56" s="14" t="s">
        <v>365</v>
      </c>
      <c r="N56" s="20" t="s">
        <v>277</v>
      </c>
      <c r="O56" s="21" t="s">
        <v>278</v>
      </c>
      <c r="P56" s="21" t="s">
        <v>279</v>
      </c>
      <c r="Q56" s="14" t="s">
        <v>276</v>
      </c>
      <c r="R56" s="20" t="s">
        <v>222</v>
      </c>
      <c r="S56" s="21" t="s">
        <v>223</v>
      </c>
      <c r="T56" s="21" t="s">
        <v>224</v>
      </c>
      <c r="U56" s="14" t="s">
        <v>225</v>
      </c>
      <c r="V56" s="21" t="s">
        <v>141</v>
      </c>
      <c r="W56" s="21" t="s">
        <v>140</v>
      </c>
      <c r="X56" s="21" t="s">
        <v>139</v>
      </c>
      <c r="Y56" s="14" t="s">
        <v>138</v>
      </c>
      <c r="Z56" s="21" t="s">
        <v>91</v>
      </c>
      <c r="AA56" s="21" t="s">
        <v>92</v>
      </c>
      <c r="AB56" s="21" t="s">
        <v>93</v>
      </c>
      <c r="AC56" s="14" t="s">
        <v>32</v>
      </c>
      <c r="AD56" s="21" t="s">
        <v>33</v>
      </c>
      <c r="AE56" s="21" t="s">
        <v>34</v>
      </c>
      <c r="AF56" s="21" t="s">
        <v>35</v>
      </c>
      <c r="AG56" s="21" t="s">
        <v>36</v>
      </c>
      <c r="AH56" s="23" t="s">
        <v>37</v>
      </c>
      <c r="AI56" s="14" t="s">
        <v>38</v>
      </c>
      <c r="AJ56" s="14" t="s">
        <v>39</v>
      </c>
      <c r="AK56" s="14" t="s">
        <v>40</v>
      </c>
      <c r="AL56" s="259"/>
      <c r="AM56" s="21" t="s">
        <v>363</v>
      </c>
      <c r="AN56" s="21" t="s">
        <v>278</v>
      </c>
      <c r="AO56" s="1461" t="s">
        <v>41</v>
      </c>
      <c r="AP56" s="1436"/>
      <c r="AQ56" s="197"/>
      <c r="AR56" s="23" t="s">
        <v>367</v>
      </c>
      <c r="AS56" s="232" t="s">
        <v>285</v>
      </c>
      <c r="AT56" s="232" t="s">
        <v>143</v>
      </c>
      <c r="AU56" s="20" t="s">
        <v>142</v>
      </c>
      <c r="AV56" s="20" t="s">
        <v>45</v>
      </c>
      <c r="AW56" s="20" t="s">
        <v>42</v>
      </c>
      <c r="AX56" s="23" t="s">
        <v>43</v>
      </c>
      <c r="AY56" s="23" t="s">
        <v>165</v>
      </c>
      <c r="AZ56" s="23" t="s">
        <v>166</v>
      </c>
      <c r="BA56" s="20" t="s">
        <v>167</v>
      </c>
      <c r="BB56" s="25"/>
      <c r="BC56" s="3"/>
      <c r="BD56" s="3"/>
      <c r="BG56" s="3"/>
    </row>
    <row r="57" spans="1:59" ht="12.75" customHeight="1">
      <c r="A57" s="147"/>
      <c r="B57" s="148" t="s">
        <v>4</v>
      </c>
      <c r="C57" s="464" t="e">
        <f>I57-M57</f>
        <v>#REF!</v>
      </c>
      <c r="D57" s="30" t="e">
        <f>IF(OR((C57/M57)&gt;3,(C57/M57)&lt;-3),"n.m.",(C57/M57))</f>
        <v>#REF!</v>
      </c>
      <c r="E57" s="89"/>
      <c r="F57" s="380" t="e">
        <f aca="true" t="shared" si="33" ref="F57:M57">+F17</f>
        <v>#REF!</v>
      </c>
      <c r="G57" s="380" t="e">
        <f t="shared" si="33"/>
        <v>#REF!</v>
      </c>
      <c r="H57" s="380" t="e">
        <f t="shared" si="33"/>
        <v>#REF!</v>
      </c>
      <c r="I57" s="424" t="e">
        <f t="shared" si="33"/>
        <v>#REF!</v>
      </c>
      <c r="J57" s="380" t="e">
        <f t="shared" si="33"/>
        <v>#REF!</v>
      </c>
      <c r="K57" s="380" t="e">
        <f t="shared" si="33"/>
        <v>#REF!</v>
      </c>
      <c r="L57" s="380" t="e">
        <f t="shared" si="33"/>
        <v>#REF!</v>
      </c>
      <c r="M57" s="424" t="e">
        <f t="shared" si="33"/>
        <v>#REF!</v>
      </c>
      <c r="N57" s="380" t="e">
        <f aca="true" t="shared" si="34" ref="N57:U57">N17</f>
        <v>#REF!</v>
      </c>
      <c r="O57" s="380" t="e">
        <f t="shared" si="34"/>
        <v>#REF!</v>
      </c>
      <c r="P57" s="380" t="e">
        <f t="shared" si="34"/>
        <v>#REF!</v>
      </c>
      <c r="Q57" s="424" t="e">
        <f t="shared" si="34"/>
        <v>#REF!</v>
      </c>
      <c r="R57" s="380">
        <f t="shared" si="34"/>
        <v>29198</v>
      </c>
      <c r="S57" s="380">
        <f t="shared" si="34"/>
        <v>34173</v>
      </c>
      <c r="T57" s="380">
        <f t="shared" si="34"/>
        <v>21093</v>
      </c>
      <c r="U57" s="424">
        <f t="shared" si="34"/>
        <v>26706</v>
      </c>
      <c r="V57" s="380">
        <v>20284</v>
      </c>
      <c r="W57" s="380">
        <v>22817</v>
      </c>
      <c r="X57" s="380">
        <v>30137</v>
      </c>
      <c r="Y57" s="424">
        <v>27179</v>
      </c>
      <c r="Z57" s="390">
        <v>17212</v>
      </c>
      <c r="AA57" s="380">
        <v>16533</v>
      </c>
      <c r="AB57" s="380">
        <v>18284</v>
      </c>
      <c r="AC57" s="424">
        <v>25621</v>
      </c>
      <c r="AD57" s="235">
        <v>24069</v>
      </c>
      <c r="AE57" s="235">
        <v>23107</v>
      </c>
      <c r="AF57" s="235">
        <v>20654</v>
      </c>
      <c r="AG57" s="236">
        <v>26374</v>
      </c>
      <c r="AH57" s="257">
        <v>19835</v>
      </c>
      <c r="AI57" s="236">
        <v>18613</v>
      </c>
      <c r="AJ57" s="236">
        <v>7372</v>
      </c>
      <c r="AK57" s="236">
        <v>8735</v>
      </c>
      <c r="AL57" s="89"/>
      <c r="AM57" s="380" t="e">
        <f>SUM(K57:M57)</f>
        <v>#REF!</v>
      </c>
      <c r="AN57" s="380" t="e">
        <f>SUM(O57:Q57)</f>
        <v>#REF!</v>
      </c>
      <c r="AO57" s="649" t="e">
        <f>AR57-AS57</f>
        <v>#REF!</v>
      </c>
      <c r="AP57" s="650" t="e">
        <f>AO57/AS57</f>
        <v>#REF!</v>
      </c>
      <c r="AQ57" s="83"/>
      <c r="AR57" s="635" t="e">
        <f>SUM(J57:M57)</f>
        <v>#REF!</v>
      </c>
      <c r="AS57" s="643" t="e">
        <f>SUM(N57:Q57)</f>
        <v>#REF!</v>
      </c>
      <c r="AT57" s="643">
        <f>SUM(R57:U57)</f>
        <v>111170</v>
      </c>
      <c r="AU57" s="179">
        <v>100417</v>
      </c>
      <c r="AV57" s="179">
        <v>77650</v>
      </c>
      <c r="AW57" s="201">
        <v>94204</v>
      </c>
      <c r="AX57" s="201">
        <v>80673</v>
      </c>
      <c r="AY57" s="368">
        <f>AY17</f>
        <v>19961</v>
      </c>
      <c r="AZ57" s="368">
        <f>AZ17</f>
        <v>0</v>
      </c>
      <c r="BA57" s="368">
        <f>BA17</f>
        <v>0</v>
      </c>
      <c r="BB57" s="3"/>
      <c r="BC57" s="3"/>
      <c r="BD57" s="3"/>
      <c r="BG57" s="3"/>
    </row>
    <row r="58" spans="1:59" ht="12.75" customHeight="1">
      <c r="A58" s="83"/>
      <c r="B58" s="148" t="s">
        <v>90</v>
      </c>
      <c r="C58" s="84">
        <f>I58-M58</f>
        <v>5076</v>
      </c>
      <c r="D58" s="45">
        <f>IF(OR((C58/M58)&gt;3,(C58/M58)&lt;-3),"n.m.",(C58/M58))</f>
        <v>0.1242868685879386</v>
      </c>
      <c r="E58" s="606"/>
      <c r="F58" s="466">
        <f>+F34-F31-1</f>
        <v>-1</v>
      </c>
      <c r="G58" s="466">
        <f>+G34-G31-1</f>
        <v>-1</v>
      </c>
      <c r="H58" s="466">
        <f>+H34-H31-1</f>
        <v>-1</v>
      </c>
      <c r="I58" s="424">
        <f>+I34-I31-1</f>
        <v>45917</v>
      </c>
      <c r="J58" s="466">
        <f>+J34-J31-1</f>
        <v>41442</v>
      </c>
      <c r="K58" s="466">
        <f>+K34-K31-3</f>
        <v>36205</v>
      </c>
      <c r="L58" s="466">
        <f>+L34-L31-3</f>
        <v>38846</v>
      </c>
      <c r="M58" s="424">
        <f>+M34-1</f>
        <v>40841</v>
      </c>
      <c r="N58" s="466">
        <f>N34-N31-N32</f>
        <v>23684</v>
      </c>
      <c r="O58" s="466">
        <f>O34-O31</f>
        <v>19065</v>
      </c>
      <c r="P58" s="466">
        <f aca="true" t="shared" si="35" ref="P58:U58">P34</f>
        <v>20340</v>
      </c>
      <c r="Q58" s="424">
        <f t="shared" si="35"/>
        <v>23902</v>
      </c>
      <c r="R58" s="466">
        <f t="shared" si="35"/>
        <v>23515</v>
      </c>
      <c r="S58" s="466">
        <f t="shared" si="35"/>
        <v>27752</v>
      </c>
      <c r="T58" s="466">
        <f t="shared" si="35"/>
        <v>20429</v>
      </c>
      <c r="U58" s="424">
        <f t="shared" si="35"/>
        <v>22719</v>
      </c>
      <c r="V58" s="466">
        <v>18936</v>
      </c>
      <c r="W58" s="466">
        <v>22225</v>
      </c>
      <c r="X58" s="466">
        <v>25687</v>
      </c>
      <c r="Y58" s="424">
        <v>24938</v>
      </c>
      <c r="Z58" s="466">
        <v>20382</v>
      </c>
      <c r="AA58" s="466">
        <v>21311</v>
      </c>
      <c r="AB58" s="466">
        <v>22165</v>
      </c>
      <c r="AC58" s="424">
        <v>24603</v>
      </c>
      <c r="AD58" s="234">
        <v>28700</v>
      </c>
      <c r="AE58" s="234">
        <v>23749</v>
      </c>
      <c r="AF58" s="234">
        <v>23836</v>
      </c>
      <c r="AG58" s="238">
        <v>25278</v>
      </c>
      <c r="AH58" s="201">
        <v>23039</v>
      </c>
      <c r="AI58" s="238">
        <v>20245</v>
      </c>
      <c r="AJ58" s="238">
        <v>18732</v>
      </c>
      <c r="AK58" s="238">
        <v>20213</v>
      </c>
      <c r="AL58" s="89"/>
      <c r="AM58" s="380">
        <f>SUM(K58:M58)</f>
        <v>115892</v>
      </c>
      <c r="AN58" s="380">
        <f>SUM(O58:Q58)</f>
        <v>63307</v>
      </c>
      <c r="AO58" s="651">
        <f>AR58-AS58</f>
        <v>70343</v>
      </c>
      <c r="AP58" s="652">
        <f>AO58/AS58</f>
        <v>0.8086238806313297</v>
      </c>
      <c r="AQ58" s="83"/>
      <c r="AR58" s="635">
        <f>SUM(J58:M58)</f>
        <v>157334</v>
      </c>
      <c r="AS58" s="635">
        <f>SUM(N58:Q58)</f>
        <v>86991</v>
      </c>
      <c r="AT58" s="635">
        <f>SUM(R58:U58)</f>
        <v>94415</v>
      </c>
      <c r="AU58" s="179">
        <v>91786</v>
      </c>
      <c r="AV58" s="179">
        <v>88461</v>
      </c>
      <c r="AW58" s="201">
        <v>101563</v>
      </c>
      <c r="AX58" s="201">
        <v>84303</v>
      </c>
      <c r="AY58" s="43">
        <f>AY34</f>
        <v>16880</v>
      </c>
      <c r="AZ58" s="43">
        <f>AZ34</f>
        <v>0</v>
      </c>
      <c r="BA58" s="43">
        <f>BA34</f>
        <v>0</v>
      </c>
      <c r="BB58" s="3"/>
      <c r="BC58" s="3"/>
      <c r="BD58" s="3"/>
      <c r="BG58" s="3"/>
    </row>
    <row r="59" spans="1:59" ht="12.75" customHeight="1">
      <c r="A59" s="83"/>
      <c r="B59" s="148" t="s">
        <v>82</v>
      </c>
      <c r="C59" s="154" t="e">
        <f>I59-M59</f>
        <v>#REF!</v>
      </c>
      <c r="D59" s="155" t="e">
        <f>-IF(OR((C59/M59)&gt;3,(C59/M59)&lt;-3),"n.m.",(C59/M59))</f>
        <v>#REF!</v>
      </c>
      <c r="E59" s="606"/>
      <c r="F59" s="474" t="e">
        <f aca="true" t="shared" si="36" ref="F59:M59">+F57-F58</f>
        <v>#REF!</v>
      </c>
      <c r="G59" s="474" t="e">
        <f t="shared" si="36"/>
        <v>#REF!</v>
      </c>
      <c r="H59" s="474" t="e">
        <f t="shared" si="36"/>
        <v>#REF!</v>
      </c>
      <c r="I59" s="426" t="e">
        <f t="shared" si="36"/>
        <v>#REF!</v>
      </c>
      <c r="J59" s="474" t="e">
        <f t="shared" si="36"/>
        <v>#REF!</v>
      </c>
      <c r="K59" s="474" t="e">
        <f t="shared" si="36"/>
        <v>#REF!</v>
      </c>
      <c r="L59" s="474" t="e">
        <f t="shared" si="36"/>
        <v>#REF!</v>
      </c>
      <c r="M59" s="426" t="e">
        <f t="shared" si="36"/>
        <v>#REF!</v>
      </c>
      <c r="N59" s="474" t="e">
        <f aca="true" t="shared" si="37" ref="N59:U59">N57-N58</f>
        <v>#REF!</v>
      </c>
      <c r="O59" s="474" t="e">
        <f t="shared" si="37"/>
        <v>#REF!</v>
      </c>
      <c r="P59" s="474" t="e">
        <f t="shared" si="37"/>
        <v>#REF!</v>
      </c>
      <c r="Q59" s="426" t="e">
        <f t="shared" si="37"/>
        <v>#REF!</v>
      </c>
      <c r="R59" s="474">
        <f t="shared" si="37"/>
        <v>5683</v>
      </c>
      <c r="S59" s="474">
        <f t="shared" si="37"/>
        <v>6421</v>
      </c>
      <c r="T59" s="474">
        <f t="shared" si="37"/>
        <v>664</v>
      </c>
      <c r="U59" s="426">
        <f t="shared" si="37"/>
        <v>3987</v>
      </c>
      <c r="V59" s="474">
        <v>1348</v>
      </c>
      <c r="W59" s="474">
        <v>592</v>
      </c>
      <c r="X59" s="474">
        <v>4450</v>
      </c>
      <c r="Y59" s="426">
        <v>2241</v>
      </c>
      <c r="Z59" s="474">
        <v>-3170</v>
      </c>
      <c r="AA59" s="474">
        <v>-4778</v>
      </c>
      <c r="AB59" s="474">
        <v>-3881</v>
      </c>
      <c r="AC59" s="426">
        <v>1018</v>
      </c>
      <c r="AD59" s="240">
        <v>-4631</v>
      </c>
      <c r="AE59" s="240">
        <v>-642</v>
      </c>
      <c r="AF59" s="240">
        <v>-3182</v>
      </c>
      <c r="AG59" s="241">
        <v>1096</v>
      </c>
      <c r="AH59" s="207">
        <v>-3204</v>
      </c>
      <c r="AI59" s="241">
        <v>-1632</v>
      </c>
      <c r="AJ59" s="241">
        <v>-11360</v>
      </c>
      <c r="AK59" s="241">
        <v>-11478</v>
      </c>
      <c r="AL59" s="89"/>
      <c r="AM59" s="388" t="e">
        <f>AM57-AM58</f>
        <v>#REF!</v>
      </c>
      <c r="AN59" s="388" t="e">
        <f>AN57-AN58</f>
        <v>#REF!</v>
      </c>
      <c r="AO59" s="653" t="e">
        <f>AR59-AS59</f>
        <v>#REF!</v>
      </c>
      <c r="AP59" s="552" t="e">
        <f>-IF(OR((AO59/AS59)&gt;3,(AO59/AS59)&lt;-3),"n.m.",(AO59/AS59))</f>
        <v>#REF!</v>
      </c>
      <c r="AQ59" s="83"/>
      <c r="AR59" s="636" t="e">
        <f>AR57-AR58</f>
        <v>#REF!</v>
      </c>
      <c r="AS59" s="636" t="e">
        <f>AS57-AS58</f>
        <v>#REF!</v>
      </c>
      <c r="AT59" s="636">
        <f>SUM(R59:U59)</f>
        <v>16755</v>
      </c>
      <c r="AU59" s="198">
        <v>8631</v>
      </c>
      <c r="AV59" s="198">
        <v>-10811</v>
      </c>
      <c r="AW59" s="207">
        <v>-7359</v>
      </c>
      <c r="AX59" s="207">
        <v>-3630</v>
      </c>
      <c r="AY59" s="160">
        <f>AY57-AY58</f>
        <v>3081</v>
      </c>
      <c r="AZ59" s="160">
        <f>AZ57-AZ58</f>
        <v>0</v>
      </c>
      <c r="BA59" s="160">
        <f>BA57-BA58</f>
        <v>0</v>
      </c>
      <c r="BB59" s="3"/>
      <c r="BC59" s="3"/>
      <c r="BD59" s="3"/>
      <c r="BG59" s="3"/>
    </row>
    <row r="60" spans="1:59" ht="12.75" customHeight="1">
      <c r="A60" s="83"/>
      <c r="B60" s="148"/>
      <c r="C60" s="153"/>
      <c r="D60" s="582"/>
      <c r="E60" s="11"/>
      <c r="F60" s="466"/>
      <c r="G60" s="466"/>
      <c r="H60" s="466"/>
      <c r="I60" s="380"/>
      <c r="J60" s="466"/>
      <c r="K60" s="466"/>
      <c r="L60" s="466"/>
      <c r="M60" s="380"/>
      <c r="N60" s="466"/>
      <c r="O60" s="466"/>
      <c r="P60" s="466"/>
      <c r="Q60" s="380"/>
      <c r="R60" s="466"/>
      <c r="S60" s="466"/>
      <c r="T60" s="466"/>
      <c r="U60" s="380"/>
      <c r="V60" s="466"/>
      <c r="W60" s="466"/>
      <c r="X60" s="466"/>
      <c r="Y60" s="380"/>
      <c r="Z60" s="466"/>
      <c r="AA60" s="466"/>
      <c r="AB60" s="466"/>
      <c r="AC60" s="380"/>
      <c r="AD60" s="234"/>
      <c r="AE60" s="234"/>
      <c r="AF60" s="234"/>
      <c r="AG60" s="234"/>
      <c r="AH60" s="234"/>
      <c r="AI60" s="234"/>
      <c r="AJ60" s="234"/>
      <c r="AK60" s="234"/>
      <c r="AL60" s="148"/>
      <c r="AM60" s="148"/>
      <c r="AN60" s="148"/>
      <c r="AO60" s="651"/>
      <c r="AP60" s="582"/>
      <c r="AQ60" s="83"/>
      <c r="AR60" s="631"/>
      <c r="AS60" s="631"/>
      <c r="AT60" s="631"/>
      <c r="AU60" s="380"/>
      <c r="AV60" s="380"/>
      <c r="AW60" s="234"/>
      <c r="AX60" s="234"/>
      <c r="AY60" s="31"/>
      <c r="AZ60" s="31"/>
      <c r="BA60" s="31"/>
      <c r="BB60" s="3"/>
      <c r="BC60" s="3"/>
      <c r="BD60" s="3"/>
      <c r="BG60" s="3"/>
    </row>
    <row r="61" spans="1:59" ht="12.75" customHeight="1">
      <c r="A61" s="12" t="s">
        <v>227</v>
      </c>
      <c r="B61" s="145"/>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468"/>
      <c r="AB61" s="148"/>
      <c r="AC61" s="148"/>
      <c r="AD61" s="148"/>
      <c r="AE61" s="148"/>
      <c r="AF61" s="148"/>
      <c r="AG61" s="7"/>
      <c r="AH61" s="148"/>
      <c r="AI61" s="7"/>
      <c r="AJ61" s="7"/>
      <c r="AK61" s="148"/>
      <c r="AL61" s="148"/>
      <c r="AM61" s="148"/>
      <c r="AN61" s="148"/>
      <c r="AO61" s="633"/>
      <c r="AP61" s="633"/>
      <c r="AQ61" s="148"/>
      <c r="AR61" s="633"/>
      <c r="AS61" s="633"/>
      <c r="AT61" s="633"/>
      <c r="AU61" s="148"/>
      <c r="AV61" s="148"/>
      <c r="AW61" s="148"/>
      <c r="AX61" s="148"/>
      <c r="AY61" s="31"/>
      <c r="AZ61" s="31"/>
      <c r="BA61" s="31"/>
      <c r="BB61" s="3"/>
      <c r="BC61" s="3"/>
      <c r="BD61" s="3"/>
      <c r="BG61" s="3"/>
    </row>
    <row r="62" spans="3:59" ht="12.75" customHeight="1">
      <c r="C62" s="1437" t="s">
        <v>428</v>
      </c>
      <c r="D62" s="1438"/>
      <c r="E62" s="259"/>
      <c r="F62" s="477"/>
      <c r="G62" s="477"/>
      <c r="H62" s="477"/>
      <c r="I62" s="19"/>
      <c r="J62" s="477"/>
      <c r="K62" s="477"/>
      <c r="L62" s="477"/>
      <c r="M62" s="19"/>
      <c r="N62" s="17"/>
      <c r="O62" s="18"/>
      <c r="P62" s="477"/>
      <c r="Q62" s="19"/>
      <c r="R62" s="17"/>
      <c r="S62" s="18"/>
      <c r="T62" s="477"/>
      <c r="U62" s="19"/>
      <c r="W62" s="18"/>
      <c r="X62" s="2"/>
      <c r="Y62" s="19"/>
      <c r="Z62" s="18"/>
      <c r="AB62" s="477"/>
      <c r="AC62" s="19"/>
      <c r="AD62" s="18"/>
      <c r="AE62" s="18"/>
      <c r="AF62" s="18"/>
      <c r="AG62" s="18"/>
      <c r="AH62" s="22"/>
      <c r="AI62" s="19"/>
      <c r="AJ62" s="19"/>
      <c r="AK62" s="19"/>
      <c r="AL62" s="24"/>
      <c r="AM62" s="725" t="s">
        <v>406</v>
      </c>
      <c r="AN62" s="711"/>
      <c r="AO62" s="711" t="s">
        <v>386</v>
      </c>
      <c r="AP62" s="712"/>
      <c r="AQ62" s="148"/>
      <c r="AR62" s="669"/>
      <c r="AS62" s="669"/>
      <c r="AT62" s="669"/>
      <c r="AU62" s="88"/>
      <c r="AV62" s="88"/>
      <c r="AW62" s="196"/>
      <c r="AX62" s="194"/>
      <c r="AY62" s="88"/>
      <c r="AZ62" s="31"/>
      <c r="BA62" s="31"/>
      <c r="BB62" s="25"/>
      <c r="BC62" s="3"/>
      <c r="BD62" s="3"/>
      <c r="BG62" s="3"/>
    </row>
    <row r="63" spans="3:59" ht="12.75" customHeight="1">
      <c r="C63" s="1439" t="s">
        <v>41</v>
      </c>
      <c r="D63" s="1440"/>
      <c r="E63" s="603"/>
      <c r="F63" s="21" t="s">
        <v>431</v>
      </c>
      <c r="G63" s="21" t="s">
        <v>430</v>
      </c>
      <c r="H63" s="21" t="s">
        <v>429</v>
      </c>
      <c r="I63" s="14" t="s">
        <v>427</v>
      </c>
      <c r="J63" s="21" t="s">
        <v>362</v>
      </c>
      <c r="K63" s="21" t="s">
        <v>363</v>
      </c>
      <c r="L63" s="21" t="s">
        <v>364</v>
      </c>
      <c r="M63" s="14" t="s">
        <v>365</v>
      </c>
      <c r="N63" s="20" t="s">
        <v>277</v>
      </c>
      <c r="O63" s="21" t="s">
        <v>278</v>
      </c>
      <c r="P63" s="21" t="s">
        <v>279</v>
      </c>
      <c r="Q63" s="14" t="s">
        <v>276</v>
      </c>
      <c r="R63" s="20" t="s">
        <v>222</v>
      </c>
      <c r="S63" s="21" t="s">
        <v>223</v>
      </c>
      <c r="T63" s="21" t="s">
        <v>224</v>
      </c>
      <c r="U63" s="14" t="s">
        <v>225</v>
      </c>
      <c r="V63" s="21" t="s">
        <v>141</v>
      </c>
      <c r="W63" s="21" t="s">
        <v>140</v>
      </c>
      <c r="X63" s="21" t="s">
        <v>139</v>
      </c>
      <c r="Y63" s="14" t="s">
        <v>138</v>
      </c>
      <c r="Z63" s="21" t="s">
        <v>91</v>
      </c>
      <c r="AA63" s="21" t="s">
        <v>92</v>
      </c>
      <c r="AB63" s="21" t="s">
        <v>93</v>
      </c>
      <c r="AC63" s="14" t="s">
        <v>32</v>
      </c>
      <c r="AD63" s="21" t="s">
        <v>33</v>
      </c>
      <c r="AE63" s="21" t="s">
        <v>34</v>
      </c>
      <c r="AF63" s="21" t="s">
        <v>35</v>
      </c>
      <c r="AG63" s="21" t="s">
        <v>36</v>
      </c>
      <c r="AH63" s="23" t="s">
        <v>37</v>
      </c>
      <c r="AI63" s="14" t="s">
        <v>38</v>
      </c>
      <c r="AJ63" s="14" t="s">
        <v>39</v>
      </c>
      <c r="AK63" s="14" t="s">
        <v>40</v>
      </c>
      <c r="AL63" s="259"/>
      <c r="AM63" s="21" t="s">
        <v>363</v>
      </c>
      <c r="AN63" s="21" t="s">
        <v>278</v>
      </c>
      <c r="AO63" s="1460" t="s">
        <v>41</v>
      </c>
      <c r="AP63" s="1440"/>
      <c r="AQ63" s="148"/>
      <c r="AR63" s="20" t="s">
        <v>367</v>
      </c>
      <c r="AS63" s="20" t="s">
        <v>285</v>
      </c>
      <c r="AT63" s="20" t="s">
        <v>143</v>
      </c>
      <c r="AU63" s="20" t="s">
        <v>142</v>
      </c>
      <c r="AV63" s="20" t="s">
        <v>45</v>
      </c>
      <c r="AW63" s="20" t="s">
        <v>42</v>
      </c>
      <c r="AX63" s="23" t="s">
        <v>43</v>
      </c>
      <c r="AY63" s="23" t="s">
        <v>165</v>
      </c>
      <c r="AZ63" s="31"/>
      <c r="BA63" s="31"/>
      <c r="BB63" s="25"/>
      <c r="BC63" s="3"/>
      <c r="BD63" s="3"/>
      <c r="BG63" s="3"/>
    </row>
    <row r="64" spans="1:59" ht="12.75" customHeight="1">
      <c r="A64" s="83"/>
      <c r="B64" s="7" t="s">
        <v>407</v>
      </c>
      <c r="C64" s="84">
        <f aca="true" t="shared" si="38" ref="C64:C70">I64-M64</f>
        <v>-205</v>
      </c>
      <c r="D64" s="30">
        <f aca="true" t="shared" si="39" ref="D64:D70">IF(OR((C64/M64)&gt;3,(C64/M64)&lt;-3),"n.m.",(C64/M64))</f>
        <v>-0.01131409018157735</v>
      </c>
      <c r="E64" s="89"/>
      <c r="F64" s="234"/>
      <c r="G64" s="234"/>
      <c r="H64" s="234"/>
      <c r="I64" s="28">
        <v>17914</v>
      </c>
      <c r="J64" s="234">
        <v>15889</v>
      </c>
      <c r="K64" s="234">
        <v>16583</v>
      </c>
      <c r="L64" s="234">
        <v>17058</v>
      </c>
      <c r="M64" s="28">
        <v>18119</v>
      </c>
      <c r="N64" s="31">
        <v>11991</v>
      </c>
      <c r="O64" s="234">
        <v>11693</v>
      </c>
      <c r="P64" s="234">
        <v>11987</v>
      </c>
      <c r="Q64" s="28">
        <v>12758</v>
      </c>
      <c r="R64" s="31">
        <v>15209</v>
      </c>
      <c r="S64" s="234">
        <v>15284</v>
      </c>
      <c r="T64" s="31">
        <v>13899</v>
      </c>
      <c r="U64" s="28">
        <v>13805</v>
      </c>
      <c r="V64" s="31">
        <v>10539</v>
      </c>
      <c r="W64" s="234">
        <v>10095</v>
      </c>
      <c r="X64" s="31">
        <v>10597</v>
      </c>
      <c r="Y64" s="28">
        <v>11230</v>
      </c>
      <c r="Z64" s="31">
        <v>11862</v>
      </c>
      <c r="AA64" s="234">
        <v>10791</v>
      </c>
      <c r="AB64" s="28">
        <v>13600</v>
      </c>
      <c r="AC64" s="28">
        <v>12602</v>
      </c>
      <c r="AD64" s="424">
        <v>29584</v>
      </c>
      <c r="AE64" s="148"/>
      <c r="AF64" s="148"/>
      <c r="AG64" s="7"/>
      <c r="AH64" s="148"/>
      <c r="AI64" s="7"/>
      <c r="AJ64" s="7"/>
      <c r="AK64" s="148"/>
      <c r="AL64" s="89"/>
      <c r="AM64" s="380">
        <f aca="true" t="shared" si="40" ref="AM64:AM69">SUM(K64:M64)</f>
        <v>51760</v>
      </c>
      <c r="AN64" s="380">
        <f aca="true" t="shared" si="41" ref="AN64:AN69">SUM(O64:Q64)</f>
        <v>36438</v>
      </c>
      <c r="AO64" s="661">
        <f aca="true" t="shared" si="42" ref="AO64:AO70">AR64-AS64</f>
        <v>19220</v>
      </c>
      <c r="AP64" s="652">
        <f>IF(OR((AO64/AS64)&gt;3,(AO64/AS64)&lt;-3),"n.m.",(AO64/AS64))</f>
        <v>0.39686964422143756</v>
      </c>
      <c r="AQ64" s="148"/>
      <c r="AR64" s="635">
        <f aca="true" t="shared" si="43" ref="AR64:AR69">SUM(J64:M64)</f>
        <v>67649</v>
      </c>
      <c r="AS64" s="635">
        <f aca="true" t="shared" si="44" ref="AS64:AS69">SUM(N64:Q64)</f>
        <v>48429</v>
      </c>
      <c r="AT64" s="639">
        <v>58197</v>
      </c>
      <c r="AU64" s="43">
        <v>42461</v>
      </c>
      <c r="AV64" s="43">
        <v>48855</v>
      </c>
      <c r="AW64" s="43">
        <v>47101</v>
      </c>
      <c r="AX64" s="43">
        <v>46312</v>
      </c>
      <c r="AY64" s="43">
        <v>20817</v>
      </c>
      <c r="AZ64" s="31"/>
      <c r="BA64" s="31"/>
      <c r="BB64" s="25"/>
      <c r="BC64" s="3"/>
      <c r="BD64" s="3"/>
      <c r="BG64" s="3"/>
    </row>
    <row r="65" spans="1:59" ht="12.75" customHeight="1">
      <c r="A65" s="83"/>
      <c r="B65" s="7" t="s">
        <v>70</v>
      </c>
      <c r="C65" s="84">
        <f t="shared" si="38"/>
        <v>9051</v>
      </c>
      <c r="D65" s="30">
        <f t="shared" si="39"/>
        <v>2.2919726513041274</v>
      </c>
      <c r="E65" s="89"/>
      <c r="F65" s="234"/>
      <c r="G65" s="234"/>
      <c r="H65" s="234"/>
      <c r="I65" s="28">
        <v>13000</v>
      </c>
      <c r="J65" s="234">
        <v>9784</v>
      </c>
      <c r="K65" s="234">
        <v>3629</v>
      </c>
      <c r="L65" s="234">
        <v>6842</v>
      </c>
      <c r="M65" s="28">
        <v>3949</v>
      </c>
      <c r="N65" s="31">
        <v>3942</v>
      </c>
      <c r="O65" s="234">
        <v>5342</v>
      </c>
      <c r="P65" s="234">
        <v>4651</v>
      </c>
      <c r="Q65" s="28">
        <v>11486</v>
      </c>
      <c r="R65" s="31">
        <v>11091</v>
      </c>
      <c r="S65" s="234">
        <v>15764</v>
      </c>
      <c r="T65" s="31">
        <v>6218</v>
      </c>
      <c r="U65" s="28">
        <v>9888</v>
      </c>
      <c r="V65" s="31">
        <v>4688</v>
      </c>
      <c r="W65" s="234">
        <v>11947</v>
      </c>
      <c r="X65" s="31">
        <v>8461</v>
      </c>
      <c r="Y65" s="28">
        <v>12184</v>
      </c>
      <c r="Z65" s="31">
        <v>2110</v>
      </c>
      <c r="AA65" s="234">
        <v>74</v>
      </c>
      <c r="AB65" s="28">
        <v>2233</v>
      </c>
      <c r="AC65" s="28">
        <v>8627</v>
      </c>
      <c r="AD65" s="424">
        <v>68274</v>
      </c>
      <c r="AE65" s="148">
        <v>0</v>
      </c>
      <c r="AF65" s="148">
        <v>0</v>
      </c>
      <c r="AG65" s="7">
        <v>0</v>
      </c>
      <c r="AH65" s="148">
        <v>0</v>
      </c>
      <c r="AI65" s="7">
        <v>0</v>
      </c>
      <c r="AJ65" s="7">
        <v>0</v>
      </c>
      <c r="AK65" s="148">
        <v>0</v>
      </c>
      <c r="AL65" s="89"/>
      <c r="AM65" s="380">
        <f t="shared" si="40"/>
        <v>14420</v>
      </c>
      <c r="AN65" s="380">
        <f t="shared" si="41"/>
        <v>21479</v>
      </c>
      <c r="AO65" s="655">
        <f t="shared" si="42"/>
        <v>-1217</v>
      </c>
      <c r="AP65" s="652">
        <f>IF(OR((AO65/AS65)&gt;3,(AO65/AS65)&lt;-3),"n.m.",(AO65/AS65))</f>
        <v>-0.047873805121749734</v>
      </c>
      <c r="AQ65" s="148"/>
      <c r="AR65" s="635">
        <f t="shared" si="43"/>
        <v>24204</v>
      </c>
      <c r="AS65" s="635">
        <f t="shared" si="44"/>
        <v>25421</v>
      </c>
      <c r="AT65" s="639">
        <v>42961</v>
      </c>
      <c r="AU65" s="43">
        <v>37280</v>
      </c>
      <c r="AV65" s="43">
        <v>13044</v>
      </c>
      <c r="AW65" s="43">
        <v>34077</v>
      </c>
      <c r="AX65" s="43">
        <v>20909</v>
      </c>
      <c r="AY65" s="43">
        <f>7416-4509</f>
        <v>2907</v>
      </c>
      <c r="AZ65" s="31"/>
      <c r="BA65" s="31"/>
      <c r="BB65" s="25"/>
      <c r="BC65" s="3"/>
      <c r="BD65" s="3"/>
      <c r="BG65" s="3"/>
    </row>
    <row r="66" spans="1:59" ht="12.75" customHeight="1">
      <c r="A66" s="83"/>
      <c r="B66" s="7" t="s">
        <v>255</v>
      </c>
      <c r="C66" s="84">
        <f t="shared" si="38"/>
        <v>3005</v>
      </c>
      <c r="D66" s="30">
        <f t="shared" si="39"/>
        <v>0.8351862145636465</v>
      </c>
      <c r="E66" s="89"/>
      <c r="F66" s="31"/>
      <c r="G66" s="31"/>
      <c r="H66" s="31"/>
      <c r="I66" s="28">
        <v>6603</v>
      </c>
      <c r="J66" s="31">
        <v>6074</v>
      </c>
      <c r="K66" s="31">
        <v>5988</v>
      </c>
      <c r="L66" s="31">
        <v>5624</v>
      </c>
      <c r="M66" s="28">
        <v>3598</v>
      </c>
      <c r="N66" s="31">
        <v>1320</v>
      </c>
      <c r="O66" s="31">
        <v>838</v>
      </c>
      <c r="P66" s="31">
        <v>1962</v>
      </c>
      <c r="Q66" s="28">
        <v>2960</v>
      </c>
      <c r="R66" s="31">
        <v>2860</v>
      </c>
      <c r="S66" s="31">
        <v>2926</v>
      </c>
      <c r="T66" s="31">
        <v>740</v>
      </c>
      <c r="U66" s="28">
        <v>3062</v>
      </c>
      <c r="V66" s="31">
        <v>4933</v>
      </c>
      <c r="W66" s="31">
        <v>1525</v>
      </c>
      <c r="X66" s="31">
        <v>11768</v>
      </c>
      <c r="Y66" s="28">
        <v>3665</v>
      </c>
      <c r="Z66" s="31">
        <v>3141</v>
      </c>
      <c r="AA66" s="31">
        <v>5516</v>
      </c>
      <c r="AB66" s="28">
        <v>2314</v>
      </c>
      <c r="AC66" s="28">
        <v>4200</v>
      </c>
      <c r="AD66" s="424"/>
      <c r="AE66" s="148"/>
      <c r="AF66" s="148"/>
      <c r="AG66" s="7"/>
      <c r="AH66" s="148"/>
      <c r="AI66" s="7"/>
      <c r="AJ66" s="7"/>
      <c r="AK66" s="148"/>
      <c r="AL66" s="89"/>
      <c r="AM66" s="380">
        <f t="shared" si="40"/>
        <v>15210</v>
      </c>
      <c r="AN66" s="380">
        <f t="shared" si="41"/>
        <v>5760</v>
      </c>
      <c r="AO66" s="655">
        <f t="shared" si="42"/>
        <v>14204</v>
      </c>
      <c r="AP66" s="652">
        <f>IF(OR((AO66/AS66)&gt;3,(AO66/AS66)&lt;-3),"n.m.",(AO66/AS66))</f>
        <v>2.0062146892655366</v>
      </c>
      <c r="AQ66" s="148"/>
      <c r="AR66" s="635">
        <f t="shared" si="43"/>
        <v>21284</v>
      </c>
      <c r="AS66" s="635">
        <f t="shared" si="44"/>
        <v>7080</v>
      </c>
      <c r="AT66" s="639">
        <v>9588</v>
      </c>
      <c r="AU66" s="43">
        <v>21891</v>
      </c>
      <c r="AV66" s="43">
        <v>15171</v>
      </c>
      <c r="AW66" s="43">
        <v>11589</v>
      </c>
      <c r="AX66" s="43">
        <v>12740</v>
      </c>
      <c r="AY66" s="43">
        <v>4509</v>
      </c>
      <c r="AZ66" s="31"/>
      <c r="BA66" s="31"/>
      <c r="BB66" s="25"/>
      <c r="BC66" s="3"/>
      <c r="BD66" s="3"/>
      <c r="BG66" s="3"/>
    </row>
    <row r="67" spans="1:59" ht="12.75" customHeight="1">
      <c r="A67" s="83"/>
      <c r="B67" s="7" t="s">
        <v>71</v>
      </c>
      <c r="C67" s="84">
        <f t="shared" si="38"/>
        <v>9066</v>
      </c>
      <c r="D67" s="30">
        <f t="shared" si="39"/>
        <v>1.6677704194260485</v>
      </c>
      <c r="E67" s="89"/>
      <c r="F67" s="31"/>
      <c r="G67" s="31"/>
      <c r="H67" s="31"/>
      <c r="I67" s="28">
        <v>14502</v>
      </c>
      <c r="J67" s="31">
        <v>13382</v>
      </c>
      <c r="K67" s="31">
        <v>11455</v>
      </c>
      <c r="L67" s="31">
        <v>9853</v>
      </c>
      <c r="M67" s="28">
        <v>5436</v>
      </c>
      <c r="N67" s="31">
        <v>1678</v>
      </c>
      <c r="O67" s="31">
        <v>0</v>
      </c>
      <c r="P67" s="31">
        <v>0</v>
      </c>
      <c r="Q67" s="28">
        <v>0</v>
      </c>
      <c r="R67" s="31">
        <v>0</v>
      </c>
      <c r="S67" s="31">
        <v>0</v>
      </c>
      <c r="T67" s="31">
        <v>0</v>
      </c>
      <c r="U67" s="28">
        <v>0</v>
      </c>
      <c r="V67" s="31">
        <v>0</v>
      </c>
      <c r="W67" s="31">
        <v>0</v>
      </c>
      <c r="X67" s="31">
        <v>0</v>
      </c>
      <c r="Y67" s="28">
        <v>0</v>
      </c>
      <c r="Z67" s="31">
        <v>1</v>
      </c>
      <c r="AA67" s="234">
        <v>-1</v>
      </c>
      <c r="AB67" s="28">
        <v>0</v>
      </c>
      <c r="AC67" s="28">
        <v>0</v>
      </c>
      <c r="AD67" s="424">
        <v>5363</v>
      </c>
      <c r="AE67" s="148"/>
      <c r="AF67" s="148"/>
      <c r="AG67" s="7"/>
      <c r="AH67" s="148"/>
      <c r="AI67" s="7"/>
      <c r="AJ67" s="7"/>
      <c r="AK67" s="148"/>
      <c r="AL67" s="89"/>
      <c r="AM67" s="31">
        <f t="shared" si="40"/>
        <v>26744</v>
      </c>
      <c r="AN67" s="31">
        <f t="shared" si="41"/>
        <v>0</v>
      </c>
      <c r="AO67" s="655">
        <f t="shared" si="42"/>
        <v>38448</v>
      </c>
      <c r="AP67" s="554" t="s">
        <v>44</v>
      </c>
      <c r="AQ67" s="148"/>
      <c r="AR67" s="635">
        <f t="shared" si="43"/>
        <v>40126</v>
      </c>
      <c r="AS67" s="635">
        <f t="shared" si="44"/>
        <v>1678</v>
      </c>
      <c r="AT67" s="639">
        <v>0</v>
      </c>
      <c r="AU67" s="43">
        <v>0</v>
      </c>
      <c r="AV67" s="43">
        <v>0</v>
      </c>
      <c r="AW67" s="43">
        <v>0</v>
      </c>
      <c r="AX67" s="43">
        <v>-1634</v>
      </c>
      <c r="AY67" s="43">
        <v>-1266</v>
      </c>
      <c r="AZ67" s="31"/>
      <c r="BA67" s="31"/>
      <c r="BB67" s="25"/>
      <c r="BC67" s="3"/>
      <c r="BD67" s="3"/>
      <c r="BG67" s="3"/>
    </row>
    <row r="68" spans="1:59" ht="12.75" customHeight="1">
      <c r="A68" s="83"/>
      <c r="B68" s="7" t="s">
        <v>72</v>
      </c>
      <c r="C68" s="84">
        <f t="shared" si="38"/>
        <v>137</v>
      </c>
      <c r="D68" s="30">
        <f t="shared" si="39"/>
        <v>0.40412979351032446</v>
      </c>
      <c r="E68" s="89"/>
      <c r="F68" s="234"/>
      <c r="G68" s="234"/>
      <c r="H68" s="234"/>
      <c r="I68" s="28">
        <v>476</v>
      </c>
      <c r="J68" s="234">
        <v>420</v>
      </c>
      <c r="K68" s="234">
        <v>461</v>
      </c>
      <c r="L68" s="234">
        <v>399</v>
      </c>
      <c r="M68" s="28">
        <v>339</v>
      </c>
      <c r="N68" s="31">
        <v>25</v>
      </c>
      <c r="O68" s="234">
        <v>13</v>
      </c>
      <c r="P68" s="234">
        <v>16</v>
      </c>
      <c r="Q68" s="28">
        <v>19</v>
      </c>
      <c r="R68" s="31">
        <v>29</v>
      </c>
      <c r="S68" s="234">
        <v>18</v>
      </c>
      <c r="T68" s="31">
        <v>17</v>
      </c>
      <c r="U68" s="28">
        <v>17</v>
      </c>
      <c r="V68" s="31">
        <v>-66</v>
      </c>
      <c r="W68" s="234">
        <v>-778</v>
      </c>
      <c r="X68" s="31">
        <v>-794</v>
      </c>
      <c r="Y68" s="28">
        <v>-17</v>
      </c>
      <c r="Z68" s="31">
        <v>29</v>
      </c>
      <c r="AA68" s="234">
        <v>67</v>
      </c>
      <c r="AB68" s="28">
        <v>101</v>
      </c>
      <c r="AC68" s="28">
        <v>145</v>
      </c>
      <c r="AD68" s="424">
        <v>1512</v>
      </c>
      <c r="AE68" s="148"/>
      <c r="AF68" s="148"/>
      <c r="AG68" s="7"/>
      <c r="AH68" s="148"/>
      <c r="AI68" s="7"/>
      <c r="AJ68" s="7"/>
      <c r="AK68" s="148"/>
      <c r="AL68" s="89"/>
      <c r="AM68" s="380">
        <f t="shared" si="40"/>
        <v>1199</v>
      </c>
      <c r="AN68" s="380">
        <f t="shared" si="41"/>
        <v>48</v>
      </c>
      <c r="AO68" s="655">
        <f t="shared" si="42"/>
        <v>1546</v>
      </c>
      <c r="AP68" s="554" t="str">
        <f>IF(OR((AO68/AS68)&gt;3,(AO68/AS68)&lt;-3),"n.m.",(AO68/AS68))</f>
        <v>n.m.</v>
      </c>
      <c r="AQ68" s="148"/>
      <c r="AR68" s="635">
        <f t="shared" si="43"/>
        <v>1619</v>
      </c>
      <c r="AS68" s="635">
        <f t="shared" si="44"/>
        <v>73</v>
      </c>
      <c r="AT68" s="639">
        <v>81</v>
      </c>
      <c r="AU68" s="43">
        <v>-1655</v>
      </c>
      <c r="AV68" s="43">
        <v>342</v>
      </c>
      <c r="AW68" s="43">
        <v>1092</v>
      </c>
      <c r="AX68" s="43">
        <v>1750</v>
      </c>
      <c r="AY68" s="43">
        <f>1146-8255</f>
        <v>-7109</v>
      </c>
      <c r="AZ68" s="31"/>
      <c r="BA68" s="31"/>
      <c r="BB68" s="25"/>
      <c r="BC68" s="3"/>
      <c r="BD68" s="3"/>
      <c r="BG68" s="3"/>
    </row>
    <row r="69" spans="1:59" ht="12.75" customHeight="1">
      <c r="A69" s="193"/>
      <c r="B69" s="7" t="s">
        <v>73</v>
      </c>
      <c r="C69" s="84">
        <f t="shared" si="38"/>
        <v>653</v>
      </c>
      <c r="D69" s="30">
        <f t="shared" si="39"/>
        <v>2.58102766798419</v>
      </c>
      <c r="E69" s="608"/>
      <c r="F69" s="234"/>
      <c r="G69" s="234"/>
      <c r="H69" s="234"/>
      <c r="I69" s="28">
        <v>906</v>
      </c>
      <c r="J69" s="234">
        <v>139</v>
      </c>
      <c r="K69" s="234">
        <v>79</v>
      </c>
      <c r="L69" s="234">
        <v>232</v>
      </c>
      <c r="M69" s="28">
        <v>253</v>
      </c>
      <c r="N69" s="31">
        <v>321</v>
      </c>
      <c r="O69" s="234">
        <v>117</v>
      </c>
      <c r="P69" s="234">
        <v>-30</v>
      </c>
      <c r="Q69" s="28">
        <v>-28</v>
      </c>
      <c r="R69" s="31">
        <v>9</v>
      </c>
      <c r="S69" s="234">
        <v>181</v>
      </c>
      <c r="T69" s="31">
        <v>219</v>
      </c>
      <c r="U69" s="28">
        <v>-66</v>
      </c>
      <c r="V69" s="31">
        <v>190</v>
      </c>
      <c r="W69" s="234">
        <v>28</v>
      </c>
      <c r="X69" s="31">
        <v>105</v>
      </c>
      <c r="Y69" s="28">
        <v>117</v>
      </c>
      <c r="Z69" s="31">
        <v>69</v>
      </c>
      <c r="AA69" s="234">
        <v>86</v>
      </c>
      <c r="AB69" s="28">
        <v>36</v>
      </c>
      <c r="AC69" s="28">
        <v>47</v>
      </c>
      <c r="AD69" s="426">
        <v>60</v>
      </c>
      <c r="AE69" s="15"/>
      <c r="AF69" s="15"/>
      <c r="AG69" s="15"/>
      <c r="AH69" s="15"/>
      <c r="AI69" s="15"/>
      <c r="AJ69" s="15"/>
      <c r="AK69" s="15"/>
      <c r="AL69" s="89"/>
      <c r="AM69" s="380">
        <f t="shared" si="40"/>
        <v>564</v>
      </c>
      <c r="AN69" s="380">
        <f t="shared" si="41"/>
        <v>59</v>
      </c>
      <c r="AO69" s="656">
        <f t="shared" si="42"/>
        <v>323</v>
      </c>
      <c r="AP69" s="554">
        <f>IF(OR((AO69/AS69)&gt;3,(AO69/AS69)&lt;-3),"n.m.",(AO69/AS69))</f>
        <v>0.85</v>
      </c>
      <c r="AQ69" s="83"/>
      <c r="AR69" s="635">
        <f t="shared" si="43"/>
        <v>703</v>
      </c>
      <c r="AS69" s="635">
        <f t="shared" si="44"/>
        <v>380</v>
      </c>
      <c r="AT69" s="639">
        <v>343</v>
      </c>
      <c r="AU69" s="43">
        <v>440</v>
      </c>
      <c r="AV69" s="43">
        <v>238</v>
      </c>
      <c r="AW69" s="43">
        <v>345</v>
      </c>
      <c r="AX69" s="43">
        <v>596</v>
      </c>
      <c r="AY69" s="43">
        <v>103</v>
      </c>
      <c r="AZ69" s="31"/>
      <c r="BA69" s="31"/>
      <c r="BB69" s="25"/>
      <c r="BC69" s="3"/>
      <c r="BD69" s="3"/>
      <c r="BG69" s="3"/>
    </row>
    <row r="70" spans="1:59" ht="12.75" customHeight="1">
      <c r="A70" s="193"/>
      <c r="B70" s="7"/>
      <c r="C70" s="578">
        <f t="shared" si="38"/>
        <v>21707</v>
      </c>
      <c r="D70" s="579">
        <f t="shared" si="39"/>
        <v>0.6848930396920553</v>
      </c>
      <c r="E70" s="24"/>
      <c r="F70" s="383">
        <f>SUM(F64:F69)</f>
        <v>0</v>
      </c>
      <c r="G70" s="383">
        <f>SUM(G64:G69)</f>
        <v>0</v>
      </c>
      <c r="H70" s="383">
        <f>SUM(H64:H69)</f>
        <v>0</v>
      </c>
      <c r="I70" s="581">
        <f>SUM(I64:I69)</f>
        <v>53401</v>
      </c>
      <c r="J70" s="383">
        <f aca="true" t="shared" si="45" ref="J70:O70">SUM(J64:J69)</f>
        <v>45688</v>
      </c>
      <c r="K70" s="383">
        <f t="shared" si="45"/>
        <v>38195</v>
      </c>
      <c r="L70" s="383">
        <f t="shared" si="45"/>
        <v>40008</v>
      </c>
      <c r="M70" s="581">
        <f t="shared" si="45"/>
        <v>31694</v>
      </c>
      <c r="N70" s="383">
        <f t="shared" si="45"/>
        <v>19277</v>
      </c>
      <c r="O70" s="383">
        <f t="shared" si="45"/>
        <v>18003</v>
      </c>
      <c r="P70" s="383">
        <f>SUM(P64:P69)</f>
        <v>18586</v>
      </c>
      <c r="Q70" s="581">
        <f>SUM(Q64:Q69)</f>
        <v>27195</v>
      </c>
      <c r="R70" s="383">
        <v>29198</v>
      </c>
      <c r="S70" s="383">
        <v>34173</v>
      </c>
      <c r="T70" s="383">
        <v>21093</v>
      </c>
      <c r="U70" s="581">
        <v>26706</v>
      </c>
      <c r="V70" s="383">
        <v>20284</v>
      </c>
      <c r="W70" s="383">
        <v>22817</v>
      </c>
      <c r="X70" s="383">
        <v>30137</v>
      </c>
      <c r="Y70" s="581">
        <v>27179</v>
      </c>
      <c r="Z70" s="382">
        <v>17212</v>
      </c>
      <c r="AA70" s="383">
        <v>16533</v>
      </c>
      <c r="AB70" s="581">
        <v>18284</v>
      </c>
      <c r="AC70" s="581">
        <v>25621</v>
      </c>
      <c r="AD70" s="581">
        <v>104793</v>
      </c>
      <c r="AE70" s="2">
        <v>0</v>
      </c>
      <c r="AF70" s="2">
        <v>0</v>
      </c>
      <c r="AG70" s="2">
        <v>0</v>
      </c>
      <c r="AH70" s="2">
        <v>0</v>
      </c>
      <c r="AI70" s="2">
        <v>0</v>
      </c>
      <c r="AJ70" s="2">
        <v>0</v>
      </c>
      <c r="AK70" s="2">
        <v>0</v>
      </c>
      <c r="AL70" s="89"/>
      <c r="AM70" s="383">
        <f>SUM(AM64:AM69)</f>
        <v>109897</v>
      </c>
      <c r="AN70" s="383">
        <f>SUM(AN64:AN69)</f>
        <v>63784</v>
      </c>
      <c r="AO70" s="657">
        <f t="shared" si="42"/>
        <v>72524</v>
      </c>
      <c r="AP70" s="650">
        <f>AO70/AS70</f>
        <v>0.8731414261807587</v>
      </c>
      <c r="AQ70">
        <v>0</v>
      </c>
      <c r="AR70" s="641">
        <f>SUM(AR64:AR69)</f>
        <v>155585</v>
      </c>
      <c r="AS70" s="641">
        <f>SUM(AS64:AS69)</f>
        <v>83061</v>
      </c>
      <c r="AT70" s="641">
        <v>111170</v>
      </c>
      <c r="AU70" s="382">
        <v>100417</v>
      </c>
      <c r="AV70" s="580">
        <v>77650</v>
      </c>
      <c r="AW70" s="583">
        <v>94204</v>
      </c>
      <c r="AX70" s="584">
        <v>80673</v>
      </c>
      <c r="AY70" s="173">
        <f>SUM(AY64:AY69)</f>
        <v>19961</v>
      </c>
      <c r="AZ70" s="31"/>
      <c r="BA70" s="31"/>
      <c r="BB70" s="25"/>
      <c r="BC70" s="3"/>
      <c r="BD70" s="3"/>
      <c r="BG70" s="3"/>
    </row>
    <row r="71" spans="1:54" ht="12.75" customHeight="1">
      <c r="A71" s="193"/>
      <c r="B71" s="7"/>
      <c r="C71" s="464"/>
      <c r="D71" s="392"/>
      <c r="E71" s="24"/>
      <c r="F71" s="390"/>
      <c r="G71" s="390"/>
      <c r="H71" s="390"/>
      <c r="I71" s="702"/>
      <c r="J71" s="390"/>
      <c r="K71" s="390"/>
      <c r="L71" s="390"/>
      <c r="M71" s="702"/>
      <c r="N71" s="230"/>
      <c r="O71" s="390"/>
      <c r="P71" s="390"/>
      <c r="Q71" s="702"/>
      <c r="R71" s="230"/>
      <c r="S71" s="390"/>
      <c r="T71" s="390"/>
      <c r="U71" s="702"/>
      <c r="V71" s="230"/>
      <c r="W71" s="702"/>
      <c r="X71" s="702"/>
      <c r="Y71" s="702"/>
      <c r="Z71" s="380"/>
      <c r="AA71" s="380"/>
      <c r="AB71" s="380"/>
      <c r="AC71" s="380"/>
      <c r="AD71" s="380"/>
      <c r="AE71" s="2"/>
      <c r="AF71" s="2"/>
      <c r="AG71" s="2"/>
      <c r="AH71" s="2"/>
      <c r="AI71" s="2"/>
      <c r="AJ71" s="2"/>
      <c r="AK71" s="2"/>
      <c r="AL71" s="24"/>
      <c r="AM71" s="17"/>
      <c r="AN71" s="18"/>
      <c r="AO71" s="721"/>
      <c r="AP71" s="539"/>
      <c r="AR71" s="703"/>
      <c r="AS71" s="703"/>
      <c r="AT71" s="703"/>
      <c r="AU71" s="703"/>
      <c r="AV71" s="505"/>
      <c r="AW71" s="703"/>
      <c r="AX71" s="703"/>
      <c r="AY71" s="213"/>
      <c r="AZ71" s="145"/>
      <c r="BA71" s="145"/>
      <c r="BB71" s="25"/>
    </row>
    <row r="72" spans="1:53" ht="13.5" customHeight="1">
      <c r="A72" s="193"/>
      <c r="B72" s="7" t="s">
        <v>389</v>
      </c>
      <c r="C72" s="154">
        <f>I72-M72</f>
        <v>289</v>
      </c>
      <c r="D72" s="155">
        <f>-IF(OR((C72/M72)&gt;3,(C72/M72)&lt;-3),"n.m.",(C72/M72))</f>
        <v>0.2321285140562249</v>
      </c>
      <c r="E72" s="24"/>
      <c r="F72" s="388"/>
      <c r="G72" s="388"/>
      <c r="H72" s="388"/>
      <c r="I72" s="426">
        <v>-956</v>
      </c>
      <c r="J72" s="388">
        <v>-541</v>
      </c>
      <c r="K72" s="388">
        <v>-674</v>
      </c>
      <c r="L72" s="388">
        <v>-320</v>
      </c>
      <c r="M72" s="426">
        <v>-1245</v>
      </c>
      <c r="N72" s="229">
        <v>-1385</v>
      </c>
      <c r="O72" s="388">
        <v>-1519</v>
      </c>
      <c r="P72" s="388">
        <v>-1327</v>
      </c>
      <c r="Q72" s="426">
        <v>-1714</v>
      </c>
      <c r="R72" s="229">
        <v>-1639</v>
      </c>
      <c r="S72" s="388">
        <v>-1628</v>
      </c>
      <c r="T72" s="388">
        <v>-1323</v>
      </c>
      <c r="U72" s="426">
        <v>-1323</v>
      </c>
      <c r="V72" s="704" t="s">
        <v>214</v>
      </c>
      <c r="W72" s="705" t="s">
        <v>214</v>
      </c>
      <c r="X72" s="705" t="s">
        <v>214</v>
      </c>
      <c r="Y72" s="705" t="s">
        <v>214</v>
      </c>
      <c r="Z72" s="706"/>
      <c r="AA72" s="706"/>
      <c r="AB72" s="706"/>
      <c r="AC72" s="706"/>
      <c r="AD72" s="706"/>
      <c r="AE72" s="707"/>
      <c r="AF72" s="707"/>
      <c r="AG72" s="707"/>
      <c r="AH72" s="707"/>
      <c r="AI72" s="707"/>
      <c r="AJ72" s="707"/>
      <c r="AK72" s="707"/>
      <c r="AL72" s="755"/>
      <c r="AM72" s="229">
        <f>+SUM(K72:M72)</f>
        <v>-2239</v>
      </c>
      <c r="AN72" s="388">
        <f>SUM(O72:Q72)</f>
        <v>-4560</v>
      </c>
      <c r="AO72" s="722">
        <f>AR72-AS72</f>
        <v>3165</v>
      </c>
      <c r="AP72" s="654">
        <f>-IF(OR((AO72/AS72)&gt;3,(AO72/AS72)&lt;-3),"n.m.",(AO72/AS72))</f>
        <v>0.5323801513877208</v>
      </c>
      <c r="AQ72" s="98"/>
      <c r="AR72" s="708">
        <f>SUM(J72:M72)</f>
        <v>-2780</v>
      </c>
      <c r="AS72" s="708">
        <f>SUM(N72:Q72)</f>
        <v>-5945</v>
      </c>
      <c r="AT72" s="708">
        <f>SUM(R72:U72)</f>
        <v>-5913</v>
      </c>
      <c r="AU72" s="708" t="s">
        <v>214</v>
      </c>
      <c r="AV72" s="709" t="s">
        <v>214</v>
      </c>
      <c r="AW72" s="708" t="s">
        <v>214</v>
      </c>
      <c r="AX72" s="708" t="s">
        <v>214</v>
      </c>
      <c r="AY72" s="213"/>
      <c r="AZ72" s="145"/>
      <c r="BA72" s="145"/>
    </row>
    <row r="73" spans="2:55" ht="12.75" customHeight="1">
      <c r="B73" s="13"/>
      <c r="C73" s="13"/>
      <c r="D73" s="13"/>
      <c r="E73" s="13"/>
      <c r="F73" s="13"/>
      <c r="G73" s="13"/>
      <c r="H73" s="13"/>
      <c r="I73" s="15"/>
      <c r="J73" s="13"/>
      <c r="K73" s="13"/>
      <c r="L73" s="13"/>
      <c r="M73" s="15"/>
      <c r="N73" s="13"/>
      <c r="O73" s="13"/>
      <c r="P73" s="13"/>
      <c r="Q73" s="15"/>
      <c r="R73" s="13"/>
      <c r="S73" s="13"/>
      <c r="T73" s="13"/>
      <c r="U73" s="15"/>
      <c r="V73" s="13"/>
      <c r="W73" s="13"/>
      <c r="X73" s="13"/>
      <c r="Y73" s="15"/>
      <c r="Z73" s="13"/>
      <c r="AA73" s="13"/>
      <c r="AB73" s="13"/>
      <c r="AC73" s="15"/>
      <c r="AD73" s="15"/>
      <c r="AE73" s="15"/>
      <c r="AF73" s="15"/>
      <c r="AG73" s="15"/>
      <c r="AH73" s="15"/>
      <c r="AI73" s="15"/>
      <c r="AJ73" s="15"/>
      <c r="AK73" s="15"/>
      <c r="AL73" s="3"/>
      <c r="AM73" s="380"/>
      <c r="AN73" s="3"/>
      <c r="AO73"/>
      <c r="AP73"/>
      <c r="AR73"/>
      <c r="AS73"/>
      <c r="AT73"/>
      <c r="AW73" s="2"/>
      <c r="AX73" s="2"/>
      <c r="BB73" s="3"/>
      <c r="BC73" s="3"/>
    </row>
    <row r="74" spans="1:56" ht="12.75" customHeight="1">
      <c r="A74" s="7" t="s">
        <v>405</v>
      </c>
      <c r="B74" s="13"/>
      <c r="C74" s="255"/>
      <c r="D74" s="255"/>
      <c r="E74" s="255"/>
      <c r="F74" s="255"/>
      <c r="G74" s="255"/>
      <c r="H74" s="255"/>
      <c r="I74" s="2"/>
      <c r="J74" s="255"/>
      <c r="K74" s="255"/>
      <c r="L74" s="255"/>
      <c r="M74" s="2"/>
      <c r="N74" s="255"/>
      <c r="O74" s="255"/>
      <c r="P74" s="255"/>
      <c r="Q74" s="2"/>
      <c r="R74" s="255"/>
      <c r="S74" s="255"/>
      <c r="T74" s="255"/>
      <c r="U74" s="2"/>
      <c r="V74" s="255"/>
      <c r="W74" s="255"/>
      <c r="X74" s="255"/>
      <c r="Y74" s="2"/>
      <c r="Z74" s="255"/>
      <c r="AA74" s="255"/>
      <c r="AB74" s="255"/>
      <c r="AC74" s="2"/>
      <c r="AG74" s="2"/>
      <c r="AI74" s="2"/>
      <c r="AJ74" s="2"/>
      <c r="AK74" s="256"/>
      <c r="AL74" s="243"/>
      <c r="AM74" s="380"/>
      <c r="AN74" s="243"/>
      <c r="AO74" s="243"/>
      <c r="AP74" s="243"/>
      <c r="AQ74" s="245"/>
      <c r="AR74" s="243"/>
      <c r="AS74" s="243"/>
      <c r="AT74" s="243"/>
      <c r="AU74" s="245"/>
      <c r="AV74" s="245"/>
      <c r="BB74" s="3"/>
      <c r="BC74" s="3"/>
      <c r="BD74" s="3"/>
    </row>
    <row r="76" spans="1:56" ht="12.75">
      <c r="A76" s="3"/>
      <c r="B76" s="3"/>
      <c r="C76" s="243"/>
      <c r="D76" s="243"/>
      <c r="E76" s="243"/>
      <c r="F76" s="31"/>
      <c r="G76" s="31"/>
      <c r="H76" s="31"/>
      <c r="I76" s="31"/>
      <c r="J76" s="31"/>
      <c r="K76" s="31"/>
      <c r="L76" s="31"/>
      <c r="M76" s="31"/>
      <c r="N76" s="31"/>
      <c r="O76" s="31"/>
      <c r="P76" s="31"/>
      <c r="Q76" s="31"/>
      <c r="R76" s="31"/>
      <c r="S76" s="31"/>
      <c r="T76" s="31"/>
      <c r="AC76" s="3"/>
      <c r="AD76" s="3"/>
      <c r="AE76" s="3"/>
      <c r="AF76" s="3"/>
      <c r="AG76" s="3"/>
      <c r="AH76" s="3"/>
      <c r="AI76" s="3"/>
      <c r="AJ76" s="3"/>
      <c r="AK76" s="3"/>
      <c r="AL76" s="3"/>
      <c r="AM76" s="3"/>
      <c r="AN76" s="3"/>
      <c r="AO76" s="655"/>
      <c r="AP76" s="634"/>
      <c r="AQ76" s="3"/>
      <c r="AR76" s="902"/>
      <c r="AS76" s="902"/>
      <c r="AT76" s="626"/>
      <c r="AU76" s="3"/>
      <c r="AV76" s="3"/>
      <c r="AW76" s="3"/>
      <c r="AX76" s="3"/>
      <c r="AY76" s="31"/>
      <c r="AZ76" s="32"/>
      <c r="BA76" s="32"/>
      <c r="BB76" s="3"/>
      <c r="BC76" s="3"/>
      <c r="BD76" s="3"/>
    </row>
    <row r="77" spans="3:56" ht="12.75">
      <c r="C77" s="83"/>
      <c r="D77" s="83"/>
      <c r="E77" s="148"/>
      <c r="F77" s="148"/>
      <c r="G77" s="148"/>
      <c r="H77" s="148"/>
      <c r="I77" s="7"/>
      <c r="J77" s="148"/>
      <c r="K77" s="148"/>
      <c r="L77" s="148"/>
      <c r="M77" s="7"/>
      <c r="N77" s="148"/>
      <c r="O77" s="148"/>
      <c r="P77" s="148"/>
      <c r="Q77" s="7"/>
      <c r="R77" s="148"/>
      <c r="S77" s="148"/>
      <c r="T77" s="148"/>
      <c r="U77" s="7"/>
      <c r="V77" s="148"/>
      <c r="W77" s="148"/>
      <c r="X77" s="148"/>
      <c r="Y77" s="7"/>
      <c r="Z77" s="148"/>
      <c r="AA77" s="148"/>
      <c r="AB77" s="148"/>
      <c r="AC77" s="7"/>
      <c r="AD77" s="3"/>
      <c r="AE77" s="3"/>
      <c r="AF77" s="3"/>
      <c r="AG77" s="3"/>
      <c r="AH77" s="3"/>
      <c r="AI77" s="3"/>
      <c r="AJ77" s="3"/>
      <c r="AK77" s="31"/>
      <c r="AL77" s="148"/>
      <c r="AM77" s="148"/>
      <c r="AN77" s="148"/>
      <c r="AO77" s="633"/>
      <c r="AP77" s="633"/>
      <c r="AQ77" s="148"/>
      <c r="AR77" s="633"/>
      <c r="AS77" s="633"/>
      <c r="AT77" s="633"/>
      <c r="AU77" s="148"/>
      <c r="AV77" s="148"/>
      <c r="AW77" s="31"/>
      <c r="AX77" s="31"/>
      <c r="AY77" s="3"/>
      <c r="AZ77" s="3"/>
      <c r="BA77" s="3"/>
      <c r="BB77" s="3"/>
      <c r="BC77" s="3"/>
      <c r="BD77" s="3"/>
    </row>
    <row r="78" spans="3:53" ht="12.75">
      <c r="C78" s="83"/>
      <c r="D78" s="83"/>
      <c r="E78" s="148"/>
      <c r="F78" s="148"/>
      <c r="G78" s="148"/>
      <c r="H78" s="148"/>
      <c r="I78"/>
      <c r="J78" s="148"/>
      <c r="K78" s="148"/>
      <c r="L78" s="148"/>
      <c r="M78"/>
      <c r="N78" s="148"/>
      <c r="O78" s="148"/>
      <c r="P78" s="148"/>
      <c r="Q78"/>
      <c r="R78" s="148"/>
      <c r="S78" s="148"/>
      <c r="T78" s="148"/>
      <c r="V78" s="148"/>
      <c r="W78" s="148"/>
      <c r="X78" s="148"/>
      <c r="Z78" s="148"/>
      <c r="AA78" s="148"/>
      <c r="AB78" s="148"/>
      <c r="AC78" s="3"/>
      <c r="AD78" s="3"/>
      <c r="AE78" s="3"/>
      <c r="AF78" s="3"/>
      <c r="AG78" s="3"/>
      <c r="AH78" s="3"/>
      <c r="AI78" s="3"/>
      <c r="AJ78" s="3"/>
      <c r="AK78" s="31"/>
      <c r="AL78" s="148"/>
      <c r="AM78" s="148"/>
      <c r="AN78" s="148"/>
      <c r="AO78" s="633"/>
      <c r="AP78" s="631"/>
      <c r="AQ78" s="148"/>
      <c r="AR78" s="633"/>
      <c r="AS78" s="633"/>
      <c r="AT78" s="633"/>
      <c r="AU78" s="148"/>
      <c r="AV78" s="148"/>
      <c r="AW78" s="31"/>
      <c r="AX78" s="31"/>
      <c r="AY78" s="3"/>
      <c r="AZ78" s="3"/>
      <c r="BA78" s="3"/>
    </row>
    <row r="79" spans="3:53" ht="12.75">
      <c r="C79" s="83"/>
      <c r="D79" s="83"/>
      <c r="E79" s="148"/>
      <c r="F79" s="148"/>
      <c r="G79" s="148"/>
      <c r="H79" s="148"/>
      <c r="I79"/>
      <c r="J79" s="148"/>
      <c r="K79" s="148"/>
      <c r="L79" s="148"/>
      <c r="M79"/>
      <c r="N79" s="148"/>
      <c r="O79" s="148"/>
      <c r="P79" s="148"/>
      <c r="Q79"/>
      <c r="R79" s="148"/>
      <c r="S79" s="148"/>
      <c r="T79" s="148"/>
      <c r="V79" s="148"/>
      <c r="W79" s="148"/>
      <c r="X79" s="148"/>
      <c r="Z79" s="148"/>
      <c r="AA79" s="148"/>
      <c r="AB79" s="148"/>
      <c r="AC79" s="3"/>
      <c r="AD79" s="3"/>
      <c r="AE79" s="3"/>
      <c r="AF79" s="3"/>
      <c r="AG79" s="3"/>
      <c r="AH79" s="3"/>
      <c r="AI79" s="3"/>
      <c r="AJ79" s="3"/>
      <c r="AK79" s="31"/>
      <c r="AL79" s="148"/>
      <c r="AM79" s="148"/>
      <c r="AN79" s="148"/>
      <c r="AO79" s="633"/>
      <c r="AP79" s="633"/>
      <c r="AQ79" s="148"/>
      <c r="AR79" s="633"/>
      <c r="AS79" s="633"/>
      <c r="AT79" s="633"/>
      <c r="AU79" s="148"/>
      <c r="AV79" s="148"/>
      <c r="AW79" s="7"/>
      <c r="AX79" s="7"/>
      <c r="AY79" s="3"/>
      <c r="AZ79" s="3"/>
      <c r="BA79" s="3"/>
    </row>
    <row r="80" spans="9:53" ht="12.75">
      <c r="I80"/>
      <c r="M80"/>
      <c r="Q80"/>
      <c r="U80" s="31"/>
      <c r="V80" s="31"/>
      <c r="W80" s="31"/>
      <c r="X80" s="31"/>
      <c r="Y80" s="31"/>
      <c r="Z80" s="31"/>
      <c r="AA80" s="31"/>
      <c r="AB80" s="31"/>
      <c r="AC80" s="31"/>
      <c r="AD80" s="31"/>
      <c r="AE80" s="31"/>
      <c r="AF80" s="31"/>
      <c r="AG80" s="31"/>
      <c r="AH80" s="31"/>
      <c r="AI80" s="31"/>
      <c r="AJ80" s="31"/>
      <c r="AK80" s="31"/>
      <c r="AL80" s="31"/>
      <c r="AM80" s="31"/>
      <c r="AN80" s="31"/>
      <c r="AO80" s="644"/>
      <c r="AP80" s="644"/>
      <c r="AQ80" s="31"/>
      <c r="AR80" s="644"/>
      <c r="AS80" s="644"/>
      <c r="AT80" s="644"/>
      <c r="AU80" s="31"/>
      <c r="AV80" s="31"/>
      <c r="AW80" s="31"/>
      <c r="AX80" s="31"/>
      <c r="AY80" s="3"/>
      <c r="AZ80" s="3"/>
      <c r="BA80" s="3"/>
    </row>
    <row r="81" spans="9:53" ht="12.75">
      <c r="I81"/>
      <c r="M81"/>
      <c r="Q81"/>
      <c r="AC81" s="3"/>
      <c r="AD81" s="3"/>
      <c r="AE81" s="3"/>
      <c r="AF81" s="3"/>
      <c r="AG81" s="3"/>
      <c r="AH81" s="3"/>
      <c r="AI81" s="3"/>
      <c r="AJ81" s="3"/>
      <c r="AK81" s="33"/>
      <c r="AL81" s="3"/>
      <c r="AM81" s="3"/>
      <c r="AN81" s="3"/>
      <c r="AO81" s="626"/>
      <c r="AP81" s="626"/>
      <c r="AQ81" s="3"/>
      <c r="AR81" s="626"/>
      <c r="AS81" s="626"/>
      <c r="AT81" s="626"/>
      <c r="AU81" s="3"/>
      <c r="AV81" s="3"/>
      <c r="AW81" s="2"/>
      <c r="AX81" s="2"/>
      <c r="AY81" s="3"/>
      <c r="AZ81" s="3"/>
      <c r="BA81" s="3"/>
    </row>
    <row r="82" spans="9:53" ht="12.75">
      <c r="I82"/>
      <c r="M82"/>
      <c r="Q82"/>
      <c r="AC82" s="3"/>
      <c r="AD82" s="3"/>
      <c r="AE82" s="3"/>
      <c r="AF82" s="3"/>
      <c r="AG82" s="3"/>
      <c r="AH82" s="3"/>
      <c r="AI82" s="3"/>
      <c r="AJ82" s="3"/>
      <c r="AK82" s="152"/>
      <c r="AL82" s="3"/>
      <c r="AM82" s="3"/>
      <c r="AN82" s="3"/>
      <c r="AO82" s="626"/>
      <c r="AP82" s="626"/>
      <c r="AQ82" s="3"/>
      <c r="AR82" s="626"/>
      <c r="AS82" s="626"/>
      <c r="AT82" s="626"/>
      <c r="AU82" s="3"/>
      <c r="AV82" s="3"/>
      <c r="AW82" s="2"/>
      <c r="AX82" s="2"/>
      <c r="AY82" s="3"/>
      <c r="AZ82" s="3"/>
      <c r="BA82" s="3"/>
    </row>
    <row r="83" spans="9:53" ht="12.75">
      <c r="I83"/>
      <c r="M83"/>
      <c r="Q83"/>
      <c r="AC83" s="3"/>
      <c r="AD83" s="3"/>
      <c r="AE83" s="3"/>
      <c r="AF83" s="3"/>
      <c r="AG83" s="3"/>
      <c r="AH83" s="3"/>
      <c r="AI83" s="3"/>
      <c r="AJ83" s="3"/>
      <c r="AK83" s="2"/>
      <c r="AL83" s="3"/>
      <c r="AM83" s="3"/>
      <c r="AN83" s="3"/>
      <c r="AO83" s="626"/>
      <c r="AP83" s="626"/>
      <c r="AQ83" s="3"/>
      <c r="AR83" s="626"/>
      <c r="AS83" s="626"/>
      <c r="AT83" s="626"/>
      <c r="AU83" s="3"/>
      <c r="AV83" s="3"/>
      <c r="AW83" s="51"/>
      <c r="AX83" s="51"/>
      <c r="AY83" s="3"/>
      <c r="AZ83" s="3"/>
      <c r="BA83" s="3"/>
    </row>
    <row r="84" spans="9:53" ht="12.75">
      <c r="I84"/>
      <c r="M84"/>
      <c r="Q84"/>
      <c r="AC84" s="3"/>
      <c r="AD84" s="3"/>
      <c r="AE84" s="3"/>
      <c r="AF84" s="3"/>
      <c r="AG84" s="3"/>
      <c r="AH84" s="3"/>
      <c r="AI84" s="3"/>
      <c r="AJ84" s="3"/>
      <c r="AK84" s="1"/>
      <c r="AL84" s="3"/>
      <c r="AM84" s="3"/>
      <c r="AN84" s="3"/>
      <c r="AO84" s="626"/>
      <c r="AP84" s="626"/>
      <c r="AQ84" s="3"/>
      <c r="AR84" s="626"/>
      <c r="AS84" s="626"/>
      <c r="AT84" s="626"/>
      <c r="AU84" s="3"/>
      <c r="AV84" s="3"/>
      <c r="AW84" s="51"/>
      <c r="AX84" s="51"/>
      <c r="AY84" s="3"/>
      <c r="AZ84" s="3"/>
      <c r="BA84" s="3"/>
    </row>
    <row r="85" spans="9:53" ht="12.75">
      <c r="I85"/>
      <c r="M85"/>
      <c r="Q85"/>
      <c r="AC85" s="3"/>
      <c r="AD85" s="3"/>
      <c r="AE85" s="3"/>
      <c r="AF85" s="3"/>
      <c r="AG85" s="3"/>
      <c r="AH85" s="3"/>
      <c r="AI85" s="3"/>
      <c r="AJ85" s="3"/>
      <c r="AK85" s="32"/>
      <c r="AL85" s="3"/>
      <c r="AM85" s="3"/>
      <c r="AN85" s="3"/>
      <c r="AO85" s="626"/>
      <c r="AP85" s="626"/>
      <c r="AQ85" s="3"/>
      <c r="AR85" s="626"/>
      <c r="AS85" s="626"/>
      <c r="AT85" s="626"/>
      <c r="AU85" s="3"/>
      <c r="AV85" s="3"/>
      <c r="AW85" s="52"/>
      <c r="AX85" s="52"/>
      <c r="AY85" s="3"/>
      <c r="AZ85" s="3"/>
      <c r="BA85" s="3"/>
    </row>
    <row r="86" spans="9:50" ht="12.75">
      <c r="I86"/>
      <c r="M86"/>
      <c r="Q86"/>
      <c r="U86"/>
      <c r="Y86"/>
      <c r="AK86" s="47"/>
      <c r="AL86" s="3"/>
      <c r="AM86" s="3"/>
      <c r="AN86" s="3"/>
      <c r="AR86" s="626"/>
      <c r="AS86" s="626"/>
      <c r="AT86" s="626"/>
      <c r="AW86" s="53"/>
      <c r="AX86" s="53"/>
    </row>
    <row r="87" spans="9:50" ht="12.75">
      <c r="I87"/>
      <c r="M87"/>
      <c r="Q87"/>
      <c r="U87"/>
      <c r="Y87"/>
      <c r="AK87" s="47"/>
      <c r="AL87" s="3"/>
      <c r="AM87" s="3"/>
      <c r="AN87" s="3"/>
      <c r="AR87" s="626"/>
      <c r="AS87" s="626"/>
      <c r="AT87" s="626"/>
      <c r="AW87" s="35"/>
      <c r="AX87" s="35"/>
    </row>
    <row r="88" spans="9:50" ht="12.75">
      <c r="I88"/>
      <c r="M88"/>
      <c r="Q88"/>
      <c r="U88"/>
      <c r="Y88"/>
      <c r="AK88" s="41"/>
      <c r="AL88" s="3"/>
      <c r="AM88" s="3"/>
      <c r="AN88" s="3"/>
      <c r="AR88" s="626"/>
      <c r="AS88" s="626"/>
      <c r="AT88" s="626"/>
      <c r="AW88" s="35"/>
      <c r="AX88" s="35"/>
    </row>
    <row r="89" spans="9:50" ht="12.75">
      <c r="I89"/>
      <c r="M89"/>
      <c r="Q89"/>
      <c r="U89"/>
      <c r="Y89"/>
      <c r="AK89" s="35"/>
      <c r="AL89" s="3"/>
      <c r="AM89" s="3"/>
      <c r="AN89" s="3"/>
      <c r="AR89" s="626"/>
      <c r="AS89" s="626"/>
      <c r="AT89" s="626"/>
      <c r="AW89" s="36"/>
      <c r="AX89" s="36"/>
    </row>
    <row r="90" spans="9:50" ht="12.75">
      <c r="I90"/>
      <c r="M90"/>
      <c r="Q90"/>
      <c r="U90"/>
      <c r="Y90"/>
      <c r="AK90" s="36"/>
      <c r="AL90" s="3"/>
      <c r="AM90" s="3"/>
      <c r="AN90" s="3"/>
      <c r="AR90" s="626"/>
      <c r="AS90" s="626"/>
      <c r="AT90" s="626"/>
      <c r="AW90" s="36"/>
      <c r="AX90" s="36"/>
    </row>
    <row r="91" spans="9:50" ht="12.75">
      <c r="I91"/>
      <c r="M91"/>
      <c r="Q91"/>
      <c r="U91"/>
      <c r="Y91"/>
      <c r="AK91" s="36"/>
      <c r="AL91" s="3"/>
      <c r="AM91" s="3"/>
      <c r="AN91" s="3"/>
      <c r="AR91" s="626"/>
      <c r="AS91" s="626"/>
      <c r="AT91" s="626"/>
      <c r="AW91" s="3"/>
      <c r="AX91" s="3"/>
    </row>
    <row r="92" spans="9:50" ht="12.75">
      <c r="I92"/>
      <c r="M92"/>
      <c r="Q92"/>
      <c r="U92"/>
      <c r="Y92"/>
      <c r="AK92" s="3"/>
      <c r="AL92" s="3"/>
      <c r="AM92" s="3"/>
      <c r="AN92" s="3"/>
      <c r="AR92" s="626"/>
      <c r="AS92" s="626"/>
      <c r="AT92" s="626"/>
      <c r="AW92" s="3"/>
      <c r="AX92" s="3"/>
    </row>
    <row r="93" spans="9:50" ht="12.75">
      <c r="I93"/>
      <c r="M93"/>
      <c r="Q93"/>
      <c r="U93"/>
      <c r="Y93"/>
      <c r="AK93" s="3"/>
      <c r="AL93" s="3"/>
      <c r="AM93" s="3"/>
      <c r="AN93" s="3"/>
      <c r="AR93" s="626"/>
      <c r="AS93" s="626"/>
      <c r="AT93" s="626"/>
      <c r="AW93" s="3"/>
      <c r="AX93" s="3"/>
    </row>
    <row r="94" spans="9:50" ht="12.75">
      <c r="I94"/>
      <c r="M94"/>
      <c r="Q94"/>
      <c r="U94"/>
      <c r="Y94"/>
      <c r="AL94" s="3"/>
      <c r="AM94" s="3"/>
      <c r="AN94" s="3"/>
      <c r="AR94" s="626"/>
      <c r="AS94" s="626"/>
      <c r="AT94" s="626"/>
      <c r="AW94" s="3"/>
      <c r="AX94" s="3"/>
    </row>
    <row r="95" spans="9:50" ht="12.75">
      <c r="I95"/>
      <c r="M95"/>
      <c r="Q95"/>
      <c r="U95"/>
      <c r="Y95"/>
      <c r="AL95" s="3"/>
      <c r="AM95" s="3"/>
      <c r="AN95" s="3"/>
      <c r="AR95" s="626"/>
      <c r="AS95" s="626"/>
      <c r="AT95" s="626"/>
      <c r="AW95" s="3"/>
      <c r="AX95" s="3"/>
    </row>
    <row r="96" spans="9:46" ht="12.75">
      <c r="I96"/>
      <c r="M96"/>
      <c r="Q96"/>
      <c r="U96"/>
      <c r="Y96"/>
      <c r="AL96" s="3"/>
      <c r="AM96" s="3"/>
      <c r="AN96" s="3"/>
      <c r="AR96" s="626"/>
      <c r="AS96" s="626"/>
      <c r="AT96" s="626"/>
    </row>
  </sheetData>
  <sheetProtection/>
  <mergeCells count="11">
    <mergeCell ref="C10:D10"/>
    <mergeCell ref="C55:D55"/>
    <mergeCell ref="C63:D63"/>
    <mergeCell ref="C56:D56"/>
    <mergeCell ref="AO11:AP11"/>
    <mergeCell ref="AO56:AP56"/>
    <mergeCell ref="AO63:AP63"/>
    <mergeCell ref="C62:D62"/>
    <mergeCell ref="C11:D11"/>
    <mergeCell ref="A41:B41"/>
    <mergeCell ref="A35:B35"/>
  </mergeCells>
  <conditionalFormatting sqref="AZ76:BA76 AO50 AU45:AX49 AU50:AV50 AC45:AK49 A45:A46 Y45:Y49 C50 A53:A54 Z45:AB50 A61 A69:A73 AL45:AN50 AP45:AT50 D45:E50 J45:X50">
    <cfRule type="cellIs" priority="6" dxfId="0" operator="equal" stopIfTrue="1">
      <formula>0</formula>
    </cfRule>
  </conditionalFormatting>
  <conditionalFormatting sqref="AW44">
    <cfRule type="cellIs" priority="4" dxfId="0" operator="equal" stopIfTrue="1">
      <formula>0</formula>
    </cfRule>
  </conditionalFormatting>
  <conditionalFormatting sqref="F45:I50">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0" r:id="rId2"/>
  <headerFooter alignWithMargins="0">
    <oddFooter>&amp;L&amp;F&amp;CPage 9</oddFooter>
  </headerFooter>
  <ignoredErrors>
    <ignoredError sqref="AY17 AT21:AT30"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4:BE41"/>
  <sheetViews>
    <sheetView zoomScaleSheetLayoutView="80" workbookViewId="0" topLeftCell="A1">
      <selection activeCell="A1" sqref="A1"/>
    </sheetView>
  </sheetViews>
  <sheetFormatPr defaultColWidth="9.140625" defaultRowHeight="12.75"/>
  <cols>
    <col min="1" max="1" width="2.7109375" style="0" customWidth="1"/>
    <col min="2" max="2" width="40.7109375" style="0" customWidth="1"/>
    <col min="3" max="3" width="11.28125" style="0" customWidth="1"/>
    <col min="4" max="4" width="10.57421875" style="0" customWidth="1"/>
    <col min="5" max="5" width="1.57421875" style="3" customWidth="1"/>
    <col min="6" max="6" width="10.8515625" style="3" hidden="1" customWidth="1"/>
    <col min="7" max="7" width="10.8515625" style="3" customWidth="1"/>
    <col min="8" max="8" width="12.57421875" style="3" customWidth="1"/>
    <col min="9" max="9" width="14.28125" style="3" customWidth="1"/>
    <col min="10" max="10" width="12.7109375" style="3" customWidth="1"/>
    <col min="11" max="11" width="10.8515625" style="3" customWidth="1"/>
    <col min="12" max="12" width="12.28125" style="3" customWidth="1"/>
    <col min="13" max="13" width="12.57421875" style="3" customWidth="1"/>
    <col min="14" max="14" width="12.7109375" style="3" customWidth="1"/>
    <col min="15" max="15" width="12.8515625" style="3" customWidth="1"/>
    <col min="16" max="16" width="10.28125" style="3" hidden="1" customWidth="1"/>
    <col min="17" max="17" width="10.7109375" style="3" hidden="1" customWidth="1"/>
    <col min="18" max="26" width="10.8515625" style="3" hidden="1" customWidth="1"/>
    <col min="27" max="28" width="11.28125" style="3" hidden="1" customWidth="1"/>
    <col min="29" max="29" width="11.140625" style="0" hidden="1" customWidth="1"/>
    <col min="30" max="31" width="10.7109375" style="0" hidden="1" customWidth="1"/>
    <col min="32" max="32" width="11.7109375" style="0" hidden="1" customWidth="1"/>
    <col min="33" max="34" width="11.28125" style="0" hidden="1" customWidth="1"/>
    <col min="35" max="36" width="10.7109375" style="0" hidden="1" customWidth="1"/>
    <col min="37" max="37" width="0.13671875" style="0" hidden="1" customWidth="1"/>
    <col min="38" max="38" width="1.57421875" style="0" customWidth="1"/>
    <col min="39" max="40" width="13.00390625" style="0" customWidth="1"/>
    <col min="41" max="41" width="12.28125" style="0" customWidth="1"/>
    <col min="42" max="42" width="13.421875" style="0" customWidth="1"/>
    <col min="43" max="43" width="11.8515625" style="0" customWidth="1"/>
    <col min="44" max="46" width="10.7109375" style="0" hidden="1" customWidth="1"/>
    <col min="47" max="47" width="11.28125" style="0" hidden="1" customWidth="1"/>
    <col min="48" max="50" width="10.7109375" style="0" hidden="1" customWidth="1"/>
    <col min="51" max="51" width="1.57421875" style="0" customWidth="1"/>
  </cols>
  <sheetData>
    <row r="1" ht="12.75"/>
    <row r="2" ht="12.75"/>
    <row r="3" ht="12.75"/>
    <row r="4" spans="9:17" ht="12.75">
      <c r="I4" s="729"/>
      <c r="M4" s="729"/>
      <c r="Q4" s="729"/>
    </row>
    <row r="5" spans="1:45" ht="12.75">
      <c r="A5" s="3"/>
      <c r="B5" s="3"/>
      <c r="C5" s="3"/>
      <c r="D5" s="3"/>
      <c r="AC5" s="3"/>
      <c r="AD5" s="3"/>
      <c r="AE5" s="3"/>
      <c r="AR5" s="3"/>
      <c r="AS5" s="3"/>
    </row>
    <row r="6" spans="1:45" ht="18" customHeight="1">
      <c r="A6" s="134" t="s">
        <v>61</v>
      </c>
      <c r="B6" s="3"/>
      <c r="C6" s="3"/>
      <c r="D6" s="3"/>
      <c r="AC6" s="3"/>
      <c r="AD6" s="3"/>
      <c r="AE6" s="3"/>
      <c r="AR6" s="3"/>
      <c r="AS6" s="3"/>
    </row>
    <row r="7" spans="1:45" ht="18" customHeight="1">
      <c r="A7" s="134" t="s">
        <v>479</v>
      </c>
      <c r="B7" s="3"/>
      <c r="C7" s="3"/>
      <c r="D7" s="3"/>
      <c r="AC7" s="3"/>
      <c r="AD7" s="3"/>
      <c r="AE7" s="3"/>
      <c r="AR7" s="3"/>
      <c r="AS7" s="3"/>
    </row>
    <row r="8" spans="1:45" ht="12.75">
      <c r="A8" s="788"/>
      <c r="B8" s="3"/>
      <c r="C8" s="3"/>
      <c r="D8" s="3"/>
      <c r="I8" s="729"/>
      <c r="AC8" s="3"/>
      <c r="AD8" s="3"/>
      <c r="AE8" s="3"/>
      <c r="AR8" s="3"/>
      <c r="AS8" s="3"/>
    </row>
    <row r="9" spans="1:49" ht="9.75" customHeight="1">
      <c r="A9" s="2"/>
      <c r="B9" s="2"/>
      <c r="C9" s="2"/>
      <c r="D9" s="2"/>
      <c r="E9" s="2"/>
      <c r="F9" s="491"/>
      <c r="G9" s="2"/>
      <c r="H9" s="491"/>
      <c r="I9" s="2"/>
      <c r="J9" s="491"/>
      <c r="K9" s="2"/>
      <c r="L9" s="491"/>
      <c r="M9" s="2"/>
      <c r="N9" s="491"/>
      <c r="O9" s="2"/>
      <c r="P9" s="491"/>
      <c r="Q9" s="2"/>
      <c r="R9" s="491"/>
      <c r="S9" s="2"/>
      <c r="T9" s="491"/>
      <c r="U9" s="2"/>
      <c r="V9" s="491"/>
      <c r="W9" s="2"/>
      <c r="X9" s="491"/>
      <c r="Y9" s="2"/>
      <c r="Z9" s="491"/>
      <c r="AA9" s="2"/>
      <c r="AB9" s="2"/>
      <c r="AC9" s="3"/>
      <c r="AD9" s="3"/>
      <c r="AE9" s="3"/>
      <c r="AR9" s="2"/>
      <c r="AS9" s="2"/>
      <c r="AV9" s="3"/>
      <c r="AW9" s="3"/>
    </row>
    <row r="10" spans="1:51" ht="12.75">
      <c r="A10" s="6" t="s">
        <v>1</v>
      </c>
      <c r="B10" s="7"/>
      <c r="C10" s="1437" t="s">
        <v>497</v>
      </c>
      <c r="D10" s="1438"/>
      <c r="E10" s="259"/>
      <c r="G10" s="18"/>
      <c r="I10" s="19"/>
      <c r="K10" s="18"/>
      <c r="M10" s="19"/>
      <c r="O10" s="18"/>
      <c r="Q10" s="19"/>
      <c r="S10" s="18"/>
      <c r="U10" s="19"/>
      <c r="W10" s="18"/>
      <c r="Y10" s="19"/>
      <c r="Z10" s="18"/>
      <c r="AA10" s="18"/>
      <c r="AB10" s="18"/>
      <c r="AC10" s="19"/>
      <c r="AD10" s="22"/>
      <c r="AE10" s="19"/>
      <c r="AF10" s="19"/>
      <c r="AG10" s="19"/>
      <c r="AH10" s="22"/>
      <c r="AI10" s="19"/>
      <c r="AJ10" s="19"/>
      <c r="AK10" s="19"/>
      <c r="AL10" s="259"/>
      <c r="AM10" s="88"/>
      <c r="AN10" s="88"/>
      <c r="AO10" s="754"/>
      <c r="AP10" s="88"/>
      <c r="AQ10" s="88"/>
      <c r="AR10" s="1437" t="s">
        <v>217</v>
      </c>
      <c r="AS10" s="1438"/>
      <c r="AT10" s="17"/>
      <c r="AU10" s="22"/>
      <c r="AV10" s="88"/>
      <c r="AW10" s="350"/>
      <c r="AX10" s="350"/>
      <c r="AY10" s="25"/>
    </row>
    <row r="11" spans="1:57" ht="12.75">
      <c r="A11" s="6" t="s">
        <v>107</v>
      </c>
      <c r="B11" s="7"/>
      <c r="C11" s="1462" t="s">
        <v>41</v>
      </c>
      <c r="D11" s="1440"/>
      <c r="E11" s="603"/>
      <c r="F11" s="20"/>
      <c r="G11" s="21" t="s">
        <v>430</v>
      </c>
      <c r="H11" s="21" t="s">
        <v>429</v>
      </c>
      <c r="I11" s="14" t="s">
        <v>427</v>
      </c>
      <c r="J11" s="20" t="s">
        <v>362</v>
      </c>
      <c r="K11" s="21" t="s">
        <v>363</v>
      </c>
      <c r="L11" s="21" t="s">
        <v>364</v>
      </c>
      <c r="M11" s="14" t="s">
        <v>365</v>
      </c>
      <c r="N11" s="21" t="s">
        <v>277</v>
      </c>
      <c r="O11" s="21" t="s">
        <v>278</v>
      </c>
      <c r="P11" s="21" t="s">
        <v>279</v>
      </c>
      <c r="Q11" s="14" t="s">
        <v>276</v>
      </c>
      <c r="R11" s="21" t="s">
        <v>222</v>
      </c>
      <c r="S11" s="21" t="s">
        <v>223</v>
      </c>
      <c r="T11" s="21" t="s">
        <v>224</v>
      </c>
      <c r="U11" s="14" t="s">
        <v>225</v>
      </c>
      <c r="V11" s="21" t="s">
        <v>141</v>
      </c>
      <c r="W11" s="21" t="s">
        <v>140</v>
      </c>
      <c r="X11" s="21" t="s">
        <v>139</v>
      </c>
      <c r="Y11" s="14" t="s">
        <v>138</v>
      </c>
      <c r="Z11" s="21" t="s">
        <v>91</v>
      </c>
      <c r="AA11" s="21" t="s">
        <v>92</v>
      </c>
      <c r="AB11" s="21" t="s">
        <v>93</v>
      </c>
      <c r="AC11" s="14" t="s">
        <v>32</v>
      </c>
      <c r="AD11" s="259" t="s">
        <v>33</v>
      </c>
      <c r="AE11" s="233" t="s">
        <v>34</v>
      </c>
      <c r="AF11" s="233" t="s">
        <v>35</v>
      </c>
      <c r="AG11" s="233" t="s">
        <v>36</v>
      </c>
      <c r="AH11" s="259" t="s">
        <v>37</v>
      </c>
      <c r="AI11" s="233" t="s">
        <v>38</v>
      </c>
      <c r="AJ11" s="233" t="s">
        <v>39</v>
      </c>
      <c r="AK11" s="233" t="s">
        <v>40</v>
      </c>
      <c r="AL11" s="603"/>
      <c r="AM11" s="259" t="s">
        <v>367</v>
      </c>
      <c r="AN11" s="259" t="s">
        <v>285</v>
      </c>
      <c r="AO11" s="15" t="s">
        <v>143</v>
      </c>
      <c r="AP11" s="232" t="s">
        <v>142</v>
      </c>
      <c r="AQ11" s="232" t="s">
        <v>45</v>
      </c>
      <c r="AR11" s="1463" t="s">
        <v>41</v>
      </c>
      <c r="AS11" s="1436"/>
      <c r="AT11" s="232" t="s">
        <v>42</v>
      </c>
      <c r="AU11" s="259" t="s">
        <v>43</v>
      </c>
      <c r="AV11" s="23" t="s">
        <v>165</v>
      </c>
      <c r="AW11" s="372" t="s">
        <v>166</v>
      </c>
      <c r="AX11" s="372" t="s">
        <v>167</v>
      </c>
      <c r="AY11" s="25"/>
      <c r="AZ11" s="3"/>
      <c r="BC11" s="3"/>
      <c r="BD11" s="3"/>
      <c r="BE11" s="3"/>
    </row>
    <row r="12" spans="1:57" ht="12.75">
      <c r="A12" s="6"/>
      <c r="B12" s="7"/>
      <c r="C12" s="693"/>
      <c r="D12" s="692"/>
      <c r="E12" s="603"/>
      <c r="F12" s="696"/>
      <c r="G12" s="697" t="s">
        <v>307</v>
      </c>
      <c r="H12" s="697" t="s">
        <v>307</v>
      </c>
      <c r="I12" s="698" t="s">
        <v>307</v>
      </c>
      <c r="J12" s="696" t="s">
        <v>307</v>
      </c>
      <c r="K12" s="697" t="s">
        <v>307</v>
      </c>
      <c r="L12" s="697" t="s">
        <v>307</v>
      </c>
      <c r="M12" s="698" t="s">
        <v>307</v>
      </c>
      <c r="N12" s="696" t="s">
        <v>307</v>
      </c>
      <c r="O12" s="697" t="s">
        <v>307</v>
      </c>
      <c r="P12" s="697" t="s">
        <v>307</v>
      </c>
      <c r="Q12" s="698" t="s">
        <v>307</v>
      </c>
      <c r="R12" s="696" t="s">
        <v>307</v>
      </c>
      <c r="S12" s="697" t="s">
        <v>307</v>
      </c>
      <c r="T12" s="697" t="s">
        <v>307</v>
      </c>
      <c r="U12" s="698" t="s">
        <v>307</v>
      </c>
      <c r="V12" s="696" t="s">
        <v>308</v>
      </c>
      <c r="W12" s="697" t="s">
        <v>308</v>
      </c>
      <c r="X12" s="697" t="s">
        <v>308</v>
      </c>
      <c r="Y12" s="698" t="s">
        <v>308</v>
      </c>
      <c r="Z12" s="15"/>
      <c r="AA12" s="15"/>
      <c r="AB12" s="15"/>
      <c r="AC12" s="233"/>
      <c r="AD12" s="259"/>
      <c r="AE12" s="233"/>
      <c r="AF12" s="233"/>
      <c r="AG12" s="233"/>
      <c r="AH12" s="259"/>
      <c r="AI12" s="233"/>
      <c r="AJ12" s="233"/>
      <c r="AK12" s="233"/>
      <c r="AL12" s="603"/>
      <c r="AM12" s="699" t="s">
        <v>307</v>
      </c>
      <c r="AN12" s="699" t="s">
        <v>307</v>
      </c>
      <c r="AO12" s="698" t="s">
        <v>307</v>
      </c>
      <c r="AP12" s="696" t="s">
        <v>308</v>
      </c>
      <c r="AQ12" s="696" t="s">
        <v>308</v>
      </c>
      <c r="AR12" s="693"/>
      <c r="AS12" s="692"/>
      <c r="AT12" s="696" t="s">
        <v>308</v>
      </c>
      <c r="AU12" s="699" t="s">
        <v>308</v>
      </c>
      <c r="AV12" s="259"/>
      <c r="AW12" s="700"/>
      <c r="AX12" s="700"/>
      <c r="AY12" s="25"/>
      <c r="AZ12" s="3"/>
      <c r="BC12" s="3"/>
      <c r="BD12" s="3"/>
      <c r="BE12" s="3"/>
    </row>
    <row r="13" spans="1:55" ht="12.75" customHeight="1">
      <c r="A13" s="143" t="s">
        <v>108</v>
      </c>
      <c r="B13" s="258"/>
      <c r="C13" s="164"/>
      <c r="D13" s="166"/>
      <c r="E13" s="89"/>
      <c r="F13" s="148"/>
      <c r="G13" s="148"/>
      <c r="H13" s="148"/>
      <c r="I13" s="166"/>
      <c r="J13" s="148"/>
      <c r="K13" s="148"/>
      <c r="L13" s="148"/>
      <c r="M13" s="166"/>
      <c r="N13" s="148"/>
      <c r="O13" s="148"/>
      <c r="P13" s="148"/>
      <c r="Q13" s="166"/>
      <c r="R13" s="148"/>
      <c r="S13" s="148"/>
      <c r="T13" s="148"/>
      <c r="U13" s="166"/>
      <c r="V13" s="148"/>
      <c r="W13" s="148"/>
      <c r="X13" s="148"/>
      <c r="Y13" s="166"/>
      <c r="Z13" s="148"/>
      <c r="AA13" s="148"/>
      <c r="AB13" s="148"/>
      <c r="AC13" s="166"/>
      <c r="AD13" s="194"/>
      <c r="AE13" s="165"/>
      <c r="AF13" s="165"/>
      <c r="AG13" s="165"/>
      <c r="AH13" s="194"/>
      <c r="AI13" s="165"/>
      <c r="AJ13" s="165"/>
      <c r="AK13" s="165"/>
      <c r="AL13" s="89"/>
      <c r="AM13" s="194"/>
      <c r="AN13" s="194"/>
      <c r="AO13" s="165"/>
      <c r="AP13" s="194"/>
      <c r="AQ13" s="194"/>
      <c r="AR13" s="196"/>
      <c r="AS13" s="165"/>
      <c r="AT13" s="194"/>
      <c r="AU13" s="194"/>
      <c r="AV13" s="373"/>
      <c r="AW13" s="373"/>
      <c r="AX13" s="373"/>
      <c r="AY13" s="25"/>
      <c r="AZ13" s="3"/>
      <c r="BC13" s="3"/>
    </row>
    <row r="14" spans="1:55" ht="12.75" customHeight="1">
      <c r="A14" s="143"/>
      <c r="B14" s="83" t="s">
        <v>109</v>
      </c>
      <c r="C14" s="38">
        <v>-198247</v>
      </c>
      <c r="D14" s="30">
        <v>-0.3565850061155479</v>
      </c>
      <c r="E14" s="201"/>
      <c r="F14" s="234"/>
      <c r="G14" s="234">
        <v>357713</v>
      </c>
      <c r="H14" s="234">
        <v>360172</v>
      </c>
      <c r="I14" s="238">
        <v>380869</v>
      </c>
      <c r="J14" s="234">
        <v>491012</v>
      </c>
      <c r="K14" s="234">
        <v>555960</v>
      </c>
      <c r="L14" s="234">
        <v>575367</v>
      </c>
      <c r="M14" s="238">
        <v>644027</v>
      </c>
      <c r="N14" s="234">
        <v>814238</v>
      </c>
      <c r="O14" s="234">
        <v>700914</v>
      </c>
      <c r="P14" s="234">
        <v>691114</v>
      </c>
      <c r="Q14" s="238">
        <v>710734</v>
      </c>
      <c r="R14" s="234">
        <v>954068</v>
      </c>
      <c r="S14" s="234">
        <v>713117</v>
      </c>
      <c r="T14" s="234">
        <v>636908</v>
      </c>
      <c r="U14" s="238">
        <v>569953</v>
      </c>
      <c r="V14" s="234">
        <v>731852</v>
      </c>
      <c r="W14" s="234">
        <v>782576</v>
      </c>
      <c r="X14" s="234">
        <v>709455</v>
      </c>
      <c r="Y14" s="238">
        <v>734268</v>
      </c>
      <c r="Z14" s="234">
        <v>701173</v>
      </c>
      <c r="AA14" s="234">
        <v>684463</v>
      </c>
      <c r="AB14" s="234">
        <v>521322</v>
      </c>
      <c r="AC14" s="238">
        <v>555017</v>
      </c>
      <c r="AD14" s="201">
        <v>435649</v>
      </c>
      <c r="AE14" s="238">
        <v>421783</v>
      </c>
      <c r="AF14" s="238">
        <v>379680</v>
      </c>
      <c r="AG14" s="238">
        <v>329584</v>
      </c>
      <c r="AH14" s="201">
        <v>506640</v>
      </c>
      <c r="AI14" s="238">
        <v>371525</v>
      </c>
      <c r="AJ14" s="238">
        <v>315883</v>
      </c>
      <c r="AK14" s="238">
        <v>376986</v>
      </c>
      <c r="AL14" s="201"/>
      <c r="AM14" s="302">
        <v>491012</v>
      </c>
      <c r="AN14" s="302">
        <v>814238</v>
      </c>
      <c r="AO14" s="353">
        <v>954068</v>
      </c>
      <c r="AP14" s="302">
        <v>731852</v>
      </c>
      <c r="AQ14" s="302">
        <v>701173</v>
      </c>
      <c r="AR14" s="38">
        <v>30679</v>
      </c>
      <c r="AS14" s="30">
        <v>0.043753823949296396</v>
      </c>
      <c r="AT14" s="201">
        <v>435649</v>
      </c>
      <c r="AU14" s="201">
        <v>506640</v>
      </c>
      <c r="AV14" s="177">
        <v>370507</v>
      </c>
      <c r="AW14" s="177">
        <v>349700</v>
      </c>
      <c r="AX14" s="177">
        <v>91966</v>
      </c>
      <c r="AY14" s="3"/>
      <c r="AZ14" s="3"/>
      <c r="BC14" s="3"/>
    </row>
    <row r="15" spans="1:55" ht="12.75" customHeight="1">
      <c r="A15" s="143"/>
      <c r="B15" s="83" t="s">
        <v>358</v>
      </c>
      <c r="C15" s="38">
        <v>-309572</v>
      </c>
      <c r="D15" s="30">
        <v>-0.21298822817120408</v>
      </c>
      <c r="E15" s="201"/>
      <c r="F15" s="234"/>
      <c r="G15" s="234">
        <v>1143898</v>
      </c>
      <c r="H15" s="234">
        <v>929247</v>
      </c>
      <c r="I15" s="238">
        <v>1426328</v>
      </c>
      <c r="J15" s="234">
        <v>924337</v>
      </c>
      <c r="K15" s="234">
        <v>1453470</v>
      </c>
      <c r="L15" s="234">
        <v>1087334</v>
      </c>
      <c r="M15" s="238">
        <v>1214424</v>
      </c>
      <c r="N15" s="234">
        <v>1171988</v>
      </c>
      <c r="O15" s="234">
        <v>1100470</v>
      </c>
      <c r="P15" s="234">
        <v>1316755</v>
      </c>
      <c r="Q15" s="238">
        <v>849679</v>
      </c>
      <c r="R15" s="234">
        <v>947185</v>
      </c>
      <c r="S15" s="234">
        <v>1098154</v>
      </c>
      <c r="T15" s="234">
        <v>1268897</v>
      </c>
      <c r="U15" s="238">
        <v>835261</v>
      </c>
      <c r="V15" s="234">
        <v>362755</v>
      </c>
      <c r="W15" s="234">
        <v>404537</v>
      </c>
      <c r="X15" s="234">
        <v>517070</v>
      </c>
      <c r="Y15" s="238">
        <v>169030</v>
      </c>
      <c r="Z15" s="234">
        <v>133691</v>
      </c>
      <c r="AA15" s="234">
        <v>72938</v>
      </c>
      <c r="AB15" s="234">
        <v>56055</v>
      </c>
      <c r="AC15" s="238">
        <v>117013</v>
      </c>
      <c r="AD15" s="201">
        <v>92796</v>
      </c>
      <c r="AE15" s="238">
        <v>164388</v>
      </c>
      <c r="AF15" s="238">
        <v>227368</v>
      </c>
      <c r="AG15" s="238">
        <v>225734</v>
      </c>
      <c r="AH15" s="201">
        <v>348764</v>
      </c>
      <c r="AI15" s="238">
        <v>146030</v>
      </c>
      <c r="AJ15" s="238">
        <v>119809</v>
      </c>
      <c r="AK15" s="238">
        <v>194061</v>
      </c>
      <c r="AL15" s="201"/>
      <c r="AM15" s="302">
        <v>924337</v>
      </c>
      <c r="AN15" s="302">
        <v>1171988</v>
      </c>
      <c r="AO15" s="353">
        <v>947185</v>
      </c>
      <c r="AP15" s="302">
        <v>362755</v>
      </c>
      <c r="AQ15" s="302">
        <v>133691</v>
      </c>
      <c r="AR15" s="38">
        <v>229064</v>
      </c>
      <c r="AS15" s="30">
        <v>1.7133838478282009</v>
      </c>
      <c r="AT15" s="201">
        <v>92796</v>
      </c>
      <c r="AU15" s="201">
        <v>348764</v>
      </c>
      <c r="AV15" s="177">
        <v>203020</v>
      </c>
      <c r="AW15" s="177">
        <v>160348</v>
      </c>
      <c r="AX15" s="177">
        <v>376447</v>
      </c>
      <c r="AY15" s="3"/>
      <c r="AZ15" s="3"/>
      <c r="BC15" s="3"/>
    </row>
    <row r="16" spans="1:55" ht="12.75" customHeight="1">
      <c r="A16" s="143"/>
      <c r="B16" s="83" t="s">
        <v>110</v>
      </c>
      <c r="C16" s="38">
        <v>-367641</v>
      </c>
      <c r="D16" s="30">
        <v>-0.1612415265536406</v>
      </c>
      <c r="E16" s="201"/>
      <c r="F16" s="234"/>
      <c r="G16" s="234">
        <v>1912423</v>
      </c>
      <c r="H16" s="234">
        <v>2268642</v>
      </c>
      <c r="I16" s="238">
        <v>2843247</v>
      </c>
      <c r="J16" s="234">
        <v>2513958</v>
      </c>
      <c r="K16" s="234">
        <v>2280064</v>
      </c>
      <c r="L16" s="234">
        <v>2750879</v>
      </c>
      <c r="M16" s="238">
        <v>2548117</v>
      </c>
      <c r="N16" s="234">
        <v>3081640</v>
      </c>
      <c r="O16" s="234">
        <v>2215448</v>
      </c>
      <c r="P16" s="234">
        <v>3270356</v>
      </c>
      <c r="Q16" s="238">
        <v>2488826</v>
      </c>
      <c r="R16" s="234">
        <v>2828812</v>
      </c>
      <c r="S16" s="234">
        <v>2383057</v>
      </c>
      <c r="T16" s="234">
        <v>2987415</v>
      </c>
      <c r="U16" s="238">
        <v>2185305</v>
      </c>
      <c r="V16" s="234">
        <v>1972924</v>
      </c>
      <c r="W16" s="234">
        <v>1311144</v>
      </c>
      <c r="X16" s="234">
        <v>2085356</v>
      </c>
      <c r="Y16" s="238">
        <v>1166610</v>
      </c>
      <c r="Z16" s="234">
        <v>1061161</v>
      </c>
      <c r="AA16" s="234">
        <v>806402</v>
      </c>
      <c r="AB16" s="234">
        <v>1227426</v>
      </c>
      <c r="AC16" s="238">
        <v>1525096</v>
      </c>
      <c r="AD16" s="201">
        <v>1422917</v>
      </c>
      <c r="AE16" s="238">
        <v>1260869</v>
      </c>
      <c r="AF16" s="238">
        <v>1829712</v>
      </c>
      <c r="AG16" s="238">
        <v>2052737</v>
      </c>
      <c r="AH16" s="201">
        <v>1672035</v>
      </c>
      <c r="AI16" s="238">
        <v>1204371</v>
      </c>
      <c r="AJ16" s="238">
        <v>1163218</v>
      </c>
      <c r="AK16" s="238">
        <v>1154454</v>
      </c>
      <c r="AL16" s="201"/>
      <c r="AM16" s="302">
        <v>2513958</v>
      </c>
      <c r="AN16" s="302">
        <v>3081640</v>
      </c>
      <c r="AO16" s="353">
        <v>2828812</v>
      </c>
      <c r="AP16" s="302">
        <v>1972924</v>
      </c>
      <c r="AQ16" s="302">
        <v>1061161</v>
      </c>
      <c r="AR16" s="38">
        <v>911763</v>
      </c>
      <c r="AS16" s="30">
        <v>0.8592126925132002</v>
      </c>
      <c r="AT16" s="201">
        <v>1422917</v>
      </c>
      <c r="AU16" s="201">
        <v>1672035</v>
      </c>
      <c r="AV16" s="177">
        <v>1539998</v>
      </c>
      <c r="AW16" s="177">
        <v>1068757</v>
      </c>
      <c r="AX16" s="177">
        <v>998815</v>
      </c>
      <c r="AY16" s="3"/>
      <c r="AZ16" s="3"/>
      <c r="BC16" s="3"/>
    </row>
    <row r="17" spans="1:55" ht="12.75" customHeight="1">
      <c r="A17" s="143"/>
      <c r="B17" s="83" t="s">
        <v>111</v>
      </c>
      <c r="C17" s="38">
        <v>1755</v>
      </c>
      <c r="D17" s="30" t="s">
        <v>44</v>
      </c>
      <c r="E17" s="201"/>
      <c r="F17" s="31"/>
      <c r="G17" s="31">
        <v>1755</v>
      </c>
      <c r="H17" s="234">
        <v>3405</v>
      </c>
      <c r="I17" s="238">
        <v>3276</v>
      </c>
      <c r="J17" s="31">
        <v>0</v>
      </c>
      <c r="K17" s="31">
        <v>0</v>
      </c>
      <c r="L17" s="234">
        <v>15120</v>
      </c>
      <c r="M17" s="238">
        <v>15866</v>
      </c>
      <c r="N17" s="31">
        <v>8301</v>
      </c>
      <c r="O17" s="31">
        <v>15565</v>
      </c>
      <c r="P17" s="234">
        <v>18776</v>
      </c>
      <c r="Q17" s="238">
        <v>10317</v>
      </c>
      <c r="R17" s="33">
        <v>0</v>
      </c>
      <c r="S17" s="33">
        <v>0</v>
      </c>
      <c r="T17" s="234">
        <v>5567</v>
      </c>
      <c r="U17" s="238">
        <v>5287</v>
      </c>
      <c r="V17" s="33">
        <v>0</v>
      </c>
      <c r="W17" s="33">
        <v>0</v>
      </c>
      <c r="X17" s="234">
        <v>2107</v>
      </c>
      <c r="Y17" s="238">
        <v>17740</v>
      </c>
      <c r="Z17" s="234">
        <v>23771</v>
      </c>
      <c r="AA17" s="234">
        <v>29887</v>
      </c>
      <c r="AB17" s="234">
        <v>19772</v>
      </c>
      <c r="AC17" s="238">
        <v>19440</v>
      </c>
      <c r="AD17" s="201">
        <v>11083</v>
      </c>
      <c r="AE17" s="238">
        <v>2758</v>
      </c>
      <c r="AF17" s="238">
        <v>661</v>
      </c>
      <c r="AG17" s="29">
        <v>0</v>
      </c>
      <c r="AH17" s="271">
        <v>0</v>
      </c>
      <c r="AI17" s="29">
        <v>0</v>
      </c>
      <c r="AJ17" s="29">
        <v>0</v>
      </c>
      <c r="AK17" s="29">
        <v>0</v>
      </c>
      <c r="AL17" s="201"/>
      <c r="AM17" s="302">
        <v>0</v>
      </c>
      <c r="AN17" s="302">
        <v>8301</v>
      </c>
      <c r="AO17" s="353">
        <v>0</v>
      </c>
      <c r="AP17" s="43">
        <v>0</v>
      </c>
      <c r="AQ17" s="302">
        <v>23771</v>
      </c>
      <c r="AR17" s="38">
        <v>-23771</v>
      </c>
      <c r="AS17" s="30">
        <v>-1</v>
      </c>
      <c r="AT17" s="201">
        <v>11083</v>
      </c>
      <c r="AU17" s="29">
        <v>0</v>
      </c>
      <c r="AV17" s="177">
        <v>0</v>
      </c>
      <c r="AW17" s="177">
        <v>0</v>
      </c>
      <c r="AX17" s="177">
        <v>0</v>
      </c>
      <c r="AY17" s="3"/>
      <c r="AZ17" s="3"/>
      <c r="BC17" s="3"/>
    </row>
    <row r="18" spans="1:55" ht="12.75" customHeight="1">
      <c r="A18" s="143"/>
      <c r="B18" s="83" t="s">
        <v>359</v>
      </c>
      <c r="C18" s="38">
        <v>772</v>
      </c>
      <c r="D18" s="30">
        <v>0.09029239766081872</v>
      </c>
      <c r="E18" s="201"/>
      <c r="F18" s="234"/>
      <c r="G18" s="234">
        <v>9322</v>
      </c>
      <c r="H18" s="234">
        <v>10877</v>
      </c>
      <c r="I18" s="238">
        <v>9938</v>
      </c>
      <c r="J18" s="234">
        <v>12552</v>
      </c>
      <c r="K18" s="234">
        <v>8550</v>
      </c>
      <c r="L18" s="234">
        <v>6077</v>
      </c>
      <c r="M18" s="238">
        <v>6735</v>
      </c>
      <c r="N18" s="234">
        <v>3959</v>
      </c>
      <c r="O18" s="234">
        <v>2419</v>
      </c>
      <c r="P18" s="234">
        <v>1791</v>
      </c>
      <c r="Q18" s="238">
        <v>2076</v>
      </c>
      <c r="R18" s="234">
        <v>1503</v>
      </c>
      <c r="S18" s="234">
        <v>1036</v>
      </c>
      <c r="T18" s="234">
        <v>1076</v>
      </c>
      <c r="U18" s="238">
        <v>680</v>
      </c>
      <c r="V18" s="234">
        <v>13190</v>
      </c>
      <c r="W18" s="234">
        <v>11890</v>
      </c>
      <c r="X18" s="234">
        <v>12019</v>
      </c>
      <c r="Y18" s="238">
        <v>13358</v>
      </c>
      <c r="Z18" s="234">
        <v>15680</v>
      </c>
      <c r="AA18" s="234">
        <v>13657</v>
      </c>
      <c r="AB18" s="234">
        <v>11566</v>
      </c>
      <c r="AC18" s="238">
        <v>10725</v>
      </c>
      <c r="AD18" s="201">
        <v>28207</v>
      </c>
      <c r="AE18" s="238">
        <v>10630</v>
      </c>
      <c r="AF18" s="238">
        <v>9940</v>
      </c>
      <c r="AG18" s="238">
        <v>7761</v>
      </c>
      <c r="AH18" s="201">
        <v>11021</v>
      </c>
      <c r="AI18" s="238">
        <v>11782</v>
      </c>
      <c r="AJ18" s="238">
        <v>12754</v>
      </c>
      <c r="AK18" s="238">
        <v>11872</v>
      </c>
      <c r="AL18" s="201"/>
      <c r="AM18" s="302">
        <v>12552</v>
      </c>
      <c r="AN18" s="302">
        <v>3959</v>
      </c>
      <c r="AO18" s="353">
        <v>1503</v>
      </c>
      <c r="AP18" s="302">
        <v>13190</v>
      </c>
      <c r="AQ18" s="302">
        <v>15680</v>
      </c>
      <c r="AR18" s="38">
        <v>-2490</v>
      </c>
      <c r="AS18" s="30">
        <v>-0.15880102040816327</v>
      </c>
      <c r="AT18" s="201">
        <v>28207</v>
      </c>
      <c r="AU18" s="201">
        <v>11021</v>
      </c>
      <c r="AV18" s="168">
        <v>10769</v>
      </c>
      <c r="AW18" s="168">
        <v>3992</v>
      </c>
      <c r="AX18" s="168">
        <v>0</v>
      </c>
      <c r="AY18" s="3"/>
      <c r="AZ18" s="3"/>
      <c r="BC18" s="3"/>
    </row>
    <row r="19" spans="1:55" ht="12.75" customHeight="1">
      <c r="A19" s="143"/>
      <c r="B19" s="83" t="s">
        <v>112</v>
      </c>
      <c r="C19" s="38">
        <v>6215</v>
      </c>
      <c r="D19" s="30">
        <v>1.897130647130647</v>
      </c>
      <c r="E19" s="201"/>
      <c r="F19" s="234"/>
      <c r="G19" s="234">
        <v>9491</v>
      </c>
      <c r="H19" s="234">
        <v>9267</v>
      </c>
      <c r="I19" s="238">
        <v>4113</v>
      </c>
      <c r="J19" s="234">
        <v>3695</v>
      </c>
      <c r="K19" s="234">
        <v>3276</v>
      </c>
      <c r="L19" s="234">
        <v>3247</v>
      </c>
      <c r="M19" s="238">
        <v>9488</v>
      </c>
      <c r="N19" s="234">
        <v>9493</v>
      </c>
      <c r="O19" s="234">
        <v>5934</v>
      </c>
      <c r="P19" s="234">
        <v>5934</v>
      </c>
      <c r="Q19" s="238">
        <v>5934</v>
      </c>
      <c r="R19" s="234">
        <v>5934</v>
      </c>
      <c r="S19" s="234">
        <v>6732</v>
      </c>
      <c r="T19" s="234">
        <v>6732</v>
      </c>
      <c r="U19" s="238">
        <v>6732</v>
      </c>
      <c r="V19" s="234">
        <v>5000</v>
      </c>
      <c r="W19" s="234">
        <v>5000</v>
      </c>
      <c r="X19" s="234">
        <v>5000</v>
      </c>
      <c r="Y19" s="238">
        <v>5000</v>
      </c>
      <c r="Z19" s="234">
        <v>5000</v>
      </c>
      <c r="AA19" s="234">
        <v>5000</v>
      </c>
      <c r="AB19" s="234">
        <v>5000</v>
      </c>
      <c r="AC19" s="238">
        <v>5000</v>
      </c>
      <c r="AD19" s="201">
        <v>5000</v>
      </c>
      <c r="AE19" s="238">
        <v>5000</v>
      </c>
      <c r="AF19" s="238">
        <v>5000</v>
      </c>
      <c r="AG19" s="238">
        <v>5000</v>
      </c>
      <c r="AH19" s="271">
        <v>0</v>
      </c>
      <c r="AI19" s="29">
        <v>0</v>
      </c>
      <c r="AJ19" s="29">
        <v>0</v>
      </c>
      <c r="AK19" s="29">
        <v>0</v>
      </c>
      <c r="AL19" s="201"/>
      <c r="AM19" s="302">
        <v>3695</v>
      </c>
      <c r="AN19" s="302">
        <v>9493</v>
      </c>
      <c r="AO19" s="353">
        <v>5934</v>
      </c>
      <c r="AP19" s="302">
        <v>5000</v>
      </c>
      <c r="AQ19" s="302">
        <v>5000</v>
      </c>
      <c r="AR19" s="38">
        <v>0</v>
      </c>
      <c r="AS19" s="30">
        <v>0</v>
      </c>
      <c r="AT19" s="201">
        <v>5000</v>
      </c>
      <c r="AU19" s="29">
        <v>0</v>
      </c>
      <c r="AV19" s="374">
        <v>0</v>
      </c>
      <c r="AW19" s="374">
        <v>0</v>
      </c>
      <c r="AX19" s="374">
        <v>0</v>
      </c>
      <c r="AY19" s="3"/>
      <c r="AZ19" s="3"/>
      <c r="BC19" s="3"/>
    </row>
    <row r="20" spans="1:55" ht="12.75" customHeight="1">
      <c r="A20" s="143"/>
      <c r="B20" s="83" t="s">
        <v>113</v>
      </c>
      <c r="C20" s="39">
        <v>0</v>
      </c>
      <c r="D20" s="33">
        <v>0</v>
      </c>
      <c r="E20" s="201"/>
      <c r="F20" s="33"/>
      <c r="G20" s="33">
        <v>0</v>
      </c>
      <c r="H20" s="33">
        <v>0</v>
      </c>
      <c r="I20" s="28">
        <v>0</v>
      </c>
      <c r="J20" s="33">
        <v>0</v>
      </c>
      <c r="K20" s="33">
        <v>0</v>
      </c>
      <c r="L20" s="33">
        <v>0</v>
      </c>
      <c r="M20" s="28">
        <v>0</v>
      </c>
      <c r="N20" s="33">
        <v>0</v>
      </c>
      <c r="O20" s="33">
        <v>0</v>
      </c>
      <c r="P20" s="33">
        <v>0</v>
      </c>
      <c r="Q20" s="29">
        <v>0</v>
      </c>
      <c r="R20" s="33">
        <v>0</v>
      </c>
      <c r="S20" s="33">
        <v>0</v>
      </c>
      <c r="T20" s="33">
        <v>0</v>
      </c>
      <c r="U20" s="29">
        <v>0</v>
      </c>
      <c r="V20" s="33">
        <v>0</v>
      </c>
      <c r="W20" s="234">
        <v>28239</v>
      </c>
      <c r="X20" s="234">
        <v>34280</v>
      </c>
      <c r="Y20" s="238">
        <v>34418</v>
      </c>
      <c r="Z20" s="234">
        <v>35312</v>
      </c>
      <c r="AA20" s="234">
        <v>23160</v>
      </c>
      <c r="AB20" s="234">
        <v>29860</v>
      </c>
      <c r="AC20" s="238">
        <v>29860</v>
      </c>
      <c r="AD20" s="201">
        <v>29860</v>
      </c>
      <c r="AE20" s="238">
        <v>34501</v>
      </c>
      <c r="AF20" s="29">
        <v>0</v>
      </c>
      <c r="AG20" s="29">
        <v>0</v>
      </c>
      <c r="AH20" s="271">
        <v>0</v>
      </c>
      <c r="AI20" s="29">
        <v>0</v>
      </c>
      <c r="AJ20" s="29">
        <v>0</v>
      </c>
      <c r="AK20" s="29">
        <v>0</v>
      </c>
      <c r="AL20" s="201"/>
      <c r="AM20" s="302">
        <v>0</v>
      </c>
      <c r="AN20" s="43">
        <v>0</v>
      </c>
      <c r="AO20" s="353">
        <v>0</v>
      </c>
      <c r="AP20" s="43">
        <v>0</v>
      </c>
      <c r="AQ20" s="302">
        <v>35312</v>
      </c>
      <c r="AR20" s="38">
        <v>-35312</v>
      </c>
      <c r="AS20" s="30">
        <v>-1</v>
      </c>
      <c r="AT20" s="201">
        <v>29860</v>
      </c>
      <c r="AU20" s="29">
        <v>0</v>
      </c>
      <c r="AV20" s="374">
        <v>0</v>
      </c>
      <c r="AW20" s="374">
        <v>0</v>
      </c>
      <c r="AX20" s="374">
        <v>0</v>
      </c>
      <c r="AY20" s="3"/>
      <c r="AZ20" s="3"/>
      <c r="BC20" s="3"/>
    </row>
    <row r="21" spans="1:55" ht="12.75" customHeight="1">
      <c r="A21" s="143"/>
      <c r="B21" s="83" t="s">
        <v>114</v>
      </c>
      <c r="C21" s="38">
        <v>3777</v>
      </c>
      <c r="D21" s="30">
        <v>0.08102889751785983</v>
      </c>
      <c r="E21" s="201"/>
      <c r="F21" s="234"/>
      <c r="G21" s="234">
        <v>50390</v>
      </c>
      <c r="H21" s="234">
        <v>41306</v>
      </c>
      <c r="I21" s="238">
        <v>42293</v>
      </c>
      <c r="J21" s="234">
        <v>42979</v>
      </c>
      <c r="K21" s="234">
        <v>46613</v>
      </c>
      <c r="L21" s="234">
        <v>48013</v>
      </c>
      <c r="M21" s="238">
        <v>49678</v>
      </c>
      <c r="N21" s="234">
        <v>51084</v>
      </c>
      <c r="O21" s="234">
        <v>44550</v>
      </c>
      <c r="P21" s="234">
        <v>43120</v>
      </c>
      <c r="Q21" s="238">
        <v>43289</v>
      </c>
      <c r="R21" s="234">
        <v>40818</v>
      </c>
      <c r="S21" s="234">
        <v>36860</v>
      </c>
      <c r="T21" s="234">
        <v>37463</v>
      </c>
      <c r="U21" s="238">
        <v>39001</v>
      </c>
      <c r="V21" s="234">
        <v>38127</v>
      </c>
      <c r="W21" s="234">
        <v>40471</v>
      </c>
      <c r="X21" s="234">
        <v>41718</v>
      </c>
      <c r="Y21" s="238">
        <v>44366</v>
      </c>
      <c r="Z21" s="234">
        <v>46311</v>
      </c>
      <c r="AA21" s="234">
        <v>44178</v>
      </c>
      <c r="AB21" s="234">
        <v>39254</v>
      </c>
      <c r="AC21" s="238">
        <v>39575</v>
      </c>
      <c r="AD21" s="201">
        <v>40686</v>
      </c>
      <c r="AE21" s="238">
        <v>39939</v>
      </c>
      <c r="AF21" s="238">
        <v>40137</v>
      </c>
      <c r="AG21" s="238">
        <v>39231</v>
      </c>
      <c r="AH21" s="201">
        <v>37549</v>
      </c>
      <c r="AI21" s="238">
        <v>33566</v>
      </c>
      <c r="AJ21" s="238">
        <v>26527</v>
      </c>
      <c r="AK21" s="238">
        <v>24449</v>
      </c>
      <c r="AL21" s="201"/>
      <c r="AM21" s="302">
        <v>42979</v>
      </c>
      <c r="AN21" s="302">
        <v>51084</v>
      </c>
      <c r="AO21" s="353">
        <v>40818</v>
      </c>
      <c r="AP21" s="302">
        <v>38127</v>
      </c>
      <c r="AQ21" s="302">
        <v>46311</v>
      </c>
      <c r="AR21" s="38">
        <v>-8184</v>
      </c>
      <c r="AS21" s="30">
        <v>-0.1767182742760899</v>
      </c>
      <c r="AT21" s="201">
        <v>40686</v>
      </c>
      <c r="AU21" s="201">
        <v>37549</v>
      </c>
      <c r="AV21" s="177">
        <v>25750</v>
      </c>
      <c r="AW21" s="177">
        <v>13750</v>
      </c>
      <c r="AX21" s="177">
        <v>12373</v>
      </c>
      <c r="AY21" s="3"/>
      <c r="AZ21" s="3"/>
      <c r="BC21" s="3"/>
    </row>
    <row r="22" spans="1:55" ht="12.75" customHeight="1" hidden="1">
      <c r="A22" s="143"/>
      <c r="B22" s="83" t="s">
        <v>115</v>
      </c>
      <c r="C22" s="38">
        <v>0</v>
      </c>
      <c r="D22" s="30" t="e">
        <v>#DIV/0!</v>
      </c>
      <c r="E22" s="201"/>
      <c r="F22" s="33"/>
      <c r="G22" s="33"/>
      <c r="H22" s="33"/>
      <c r="I22" s="29"/>
      <c r="J22" s="33"/>
      <c r="K22" s="33"/>
      <c r="L22" s="33"/>
      <c r="M22" s="29"/>
      <c r="N22" s="33"/>
      <c r="O22" s="33"/>
      <c r="P22" s="33"/>
      <c r="Q22" s="29"/>
      <c r="R22" s="33"/>
      <c r="S22" s="33"/>
      <c r="T22" s="33"/>
      <c r="U22" s="29">
        <v>0</v>
      </c>
      <c r="V22" s="33">
        <v>0</v>
      </c>
      <c r="W22" s="33">
        <v>0</v>
      </c>
      <c r="X22" s="33">
        <v>0</v>
      </c>
      <c r="Y22" s="29">
        <v>0</v>
      </c>
      <c r="Z22" s="33">
        <v>0</v>
      </c>
      <c r="AA22" s="33">
        <v>0</v>
      </c>
      <c r="AB22" s="33">
        <v>0</v>
      </c>
      <c r="AC22" s="29">
        <v>0</v>
      </c>
      <c r="AD22" s="271">
        <v>0</v>
      </c>
      <c r="AE22" s="29">
        <v>0</v>
      </c>
      <c r="AF22" s="29">
        <v>0</v>
      </c>
      <c r="AG22" s="29">
        <v>0</v>
      </c>
      <c r="AH22" s="271">
        <v>0</v>
      </c>
      <c r="AI22" s="29">
        <v>0</v>
      </c>
      <c r="AJ22" s="29">
        <v>0</v>
      </c>
      <c r="AK22" s="29">
        <v>0</v>
      </c>
      <c r="AL22" s="201"/>
      <c r="AM22" s="302">
        <v>0</v>
      </c>
      <c r="AN22" s="302">
        <v>0</v>
      </c>
      <c r="AO22" s="353">
        <v>0</v>
      </c>
      <c r="AP22" s="43">
        <v>0</v>
      </c>
      <c r="AQ22" s="43">
        <v>0</v>
      </c>
      <c r="AR22" s="38">
        <v>0</v>
      </c>
      <c r="AS22" s="30" t="e">
        <v>#DIV/0!</v>
      </c>
      <c r="AT22" s="271">
        <v>0</v>
      </c>
      <c r="AU22" s="29">
        <v>0</v>
      </c>
      <c r="AV22" s="177">
        <v>0</v>
      </c>
      <c r="AW22" s="177">
        <v>41618</v>
      </c>
      <c r="AX22" s="177">
        <v>28765</v>
      </c>
      <c r="AY22" s="3"/>
      <c r="AZ22" s="3"/>
      <c r="BC22" s="3"/>
    </row>
    <row r="23" spans="1:55" ht="12.75" customHeight="1">
      <c r="A23" s="143"/>
      <c r="B23" s="83" t="s">
        <v>116</v>
      </c>
      <c r="C23" s="38">
        <v>8660</v>
      </c>
      <c r="D23" s="30">
        <v>0.01376202190481639</v>
      </c>
      <c r="E23" s="201"/>
      <c r="F23" s="31"/>
      <c r="G23" s="158">
        <v>637928</v>
      </c>
      <c r="H23" s="31">
        <v>622766</v>
      </c>
      <c r="I23" s="28">
        <v>617369</v>
      </c>
      <c r="J23" s="31">
        <v>614969</v>
      </c>
      <c r="K23" s="158">
        <v>629268</v>
      </c>
      <c r="L23" s="31">
        <v>616444</v>
      </c>
      <c r="M23" s="28">
        <v>617503</v>
      </c>
      <c r="N23" s="31">
        <v>622020</v>
      </c>
      <c r="O23" s="158">
        <v>354577</v>
      </c>
      <c r="P23" s="31">
        <v>317320</v>
      </c>
      <c r="Q23" s="28">
        <v>318250</v>
      </c>
      <c r="R23" s="31">
        <v>319180</v>
      </c>
      <c r="S23" s="158">
        <v>316928</v>
      </c>
      <c r="T23" s="31">
        <v>317858</v>
      </c>
      <c r="U23" s="28">
        <v>319685</v>
      </c>
      <c r="V23" s="33">
        <v>0</v>
      </c>
      <c r="W23" s="504">
        <v>0</v>
      </c>
      <c r="X23" s="33">
        <v>0</v>
      </c>
      <c r="Y23" s="29">
        <v>0</v>
      </c>
      <c r="Z23" s="33">
        <v>0</v>
      </c>
      <c r="AA23" s="504">
        <v>0</v>
      </c>
      <c r="AB23" s="234">
        <v>31815</v>
      </c>
      <c r="AC23" s="238">
        <v>32167</v>
      </c>
      <c r="AD23" s="201">
        <v>32520</v>
      </c>
      <c r="AE23" s="238">
        <v>32873</v>
      </c>
      <c r="AF23" s="238">
        <v>33227</v>
      </c>
      <c r="AG23" s="238">
        <v>33580</v>
      </c>
      <c r="AH23" s="201">
        <v>33933</v>
      </c>
      <c r="AI23" s="238">
        <v>26869</v>
      </c>
      <c r="AJ23" s="238">
        <v>27222</v>
      </c>
      <c r="AK23" s="238">
        <v>27575</v>
      </c>
      <c r="AL23" s="201"/>
      <c r="AM23" s="302">
        <v>614969</v>
      </c>
      <c r="AN23" s="302">
        <v>622020</v>
      </c>
      <c r="AO23" s="353">
        <v>319180</v>
      </c>
      <c r="AP23" s="43">
        <v>0</v>
      </c>
      <c r="AQ23" s="43">
        <v>0</v>
      </c>
      <c r="AR23" s="38">
        <v>0</v>
      </c>
      <c r="AS23" s="30" t="e">
        <v>#DIV/0!</v>
      </c>
      <c r="AT23" s="201">
        <v>32520</v>
      </c>
      <c r="AU23" s="201">
        <v>33933</v>
      </c>
      <c r="AV23" s="177">
        <v>27929</v>
      </c>
      <c r="AW23" s="177">
        <v>0</v>
      </c>
      <c r="AX23" s="177"/>
      <c r="AY23" s="3"/>
      <c r="AZ23" s="3"/>
      <c r="BC23" s="3"/>
    </row>
    <row r="24" spans="1:55" s="96" customFormat="1" ht="12.75" customHeight="1" thickBot="1">
      <c r="A24" s="143" t="s">
        <v>9</v>
      </c>
      <c r="B24" s="143"/>
      <c r="C24" s="260">
        <v>-854281</v>
      </c>
      <c r="D24" s="534">
        <v>-0.17163883877705563</v>
      </c>
      <c r="E24" s="616"/>
      <c r="F24" s="261"/>
      <c r="G24" s="261">
        <v>4122920</v>
      </c>
      <c r="H24" s="261">
        <v>4245682</v>
      </c>
      <c r="I24" s="262">
        <v>5327433</v>
      </c>
      <c r="J24" s="261">
        <v>4603502</v>
      </c>
      <c r="K24" s="261">
        <v>4977201</v>
      </c>
      <c r="L24" s="261">
        <v>5102481</v>
      </c>
      <c r="M24" s="262">
        <v>5105838</v>
      </c>
      <c r="N24" s="261">
        <v>5762723</v>
      </c>
      <c r="O24" s="261">
        <v>4439877</v>
      </c>
      <c r="P24" s="261">
        <v>5665166</v>
      </c>
      <c r="Q24" s="262">
        <v>4429105</v>
      </c>
      <c r="R24" s="261">
        <v>5097500</v>
      </c>
      <c r="S24" s="261">
        <v>4555884</v>
      </c>
      <c r="T24" s="261">
        <v>5261916</v>
      </c>
      <c r="U24" s="262">
        <v>3961904</v>
      </c>
      <c r="V24" s="261">
        <v>3123848</v>
      </c>
      <c r="W24" s="261">
        <v>2583857</v>
      </c>
      <c r="X24" s="261">
        <v>3407005</v>
      </c>
      <c r="Y24" s="262">
        <v>2184790</v>
      </c>
      <c r="Z24" s="261">
        <v>2022099</v>
      </c>
      <c r="AA24" s="503">
        <v>1679685</v>
      </c>
      <c r="AB24" s="261">
        <v>1942070</v>
      </c>
      <c r="AC24" s="262">
        <v>2333893</v>
      </c>
      <c r="AD24" s="263">
        <v>2098718</v>
      </c>
      <c r="AE24" s="262">
        <v>1972741</v>
      </c>
      <c r="AF24" s="262">
        <v>2525725</v>
      </c>
      <c r="AG24" s="262">
        <v>2693627</v>
      </c>
      <c r="AH24" s="263">
        <v>2609942</v>
      </c>
      <c r="AI24" s="262">
        <v>1794143</v>
      </c>
      <c r="AJ24" s="262">
        <v>1665413</v>
      </c>
      <c r="AK24" s="262">
        <v>1789397</v>
      </c>
      <c r="AL24" s="616"/>
      <c r="AM24" s="903">
        <v>4603502</v>
      </c>
      <c r="AN24" s="903">
        <v>5762723</v>
      </c>
      <c r="AO24" s="904">
        <v>5097500</v>
      </c>
      <c r="AP24" s="903">
        <v>3123848</v>
      </c>
      <c r="AQ24" s="903">
        <v>2022099</v>
      </c>
      <c r="AR24" s="38">
        <v>1101749</v>
      </c>
      <c r="AS24" s="30">
        <v>0.5448541342436746</v>
      </c>
      <c r="AT24" s="263">
        <v>2098718</v>
      </c>
      <c r="AU24" s="263">
        <v>2609942</v>
      </c>
      <c r="AV24" s="375">
        <v>2177973</v>
      </c>
      <c r="AW24" s="375">
        <v>1638165</v>
      </c>
      <c r="AX24" s="375">
        <v>1508366</v>
      </c>
      <c r="AY24" s="210"/>
      <c r="AZ24" s="210"/>
      <c r="BC24" s="210"/>
    </row>
    <row r="25" spans="1:55" ht="12.75" customHeight="1" thickTop="1">
      <c r="A25" s="83"/>
      <c r="B25" s="83"/>
      <c r="C25" s="237"/>
      <c r="D25" s="30"/>
      <c r="E25" s="201"/>
      <c r="F25" s="234"/>
      <c r="G25" s="234"/>
      <c r="H25" s="234"/>
      <c r="I25" s="238"/>
      <c r="J25" s="234"/>
      <c r="K25" s="234"/>
      <c r="L25" s="234"/>
      <c r="M25" s="238"/>
      <c r="N25" s="234"/>
      <c r="O25" s="234"/>
      <c r="P25" s="234"/>
      <c r="Q25" s="238"/>
      <c r="R25" s="234"/>
      <c r="S25" s="234"/>
      <c r="T25" s="234"/>
      <c r="U25" s="238"/>
      <c r="V25" s="234"/>
      <c r="W25" s="234"/>
      <c r="X25" s="234"/>
      <c r="Y25" s="238"/>
      <c r="Z25" s="234"/>
      <c r="AA25" s="234"/>
      <c r="AB25" s="234"/>
      <c r="AC25" s="238"/>
      <c r="AD25" s="201"/>
      <c r="AE25" s="238"/>
      <c r="AF25" s="238"/>
      <c r="AG25" s="238"/>
      <c r="AH25" s="201"/>
      <c r="AI25" s="238"/>
      <c r="AJ25" s="238"/>
      <c r="AK25" s="238"/>
      <c r="AL25" s="201"/>
      <c r="AM25" s="302"/>
      <c r="AN25" s="302"/>
      <c r="AO25" s="353"/>
      <c r="AP25" s="302"/>
      <c r="AQ25" s="302"/>
      <c r="AR25" s="38">
        <v>0</v>
      </c>
      <c r="AS25" s="30" t="e">
        <v>#DIV/0!</v>
      </c>
      <c r="AT25" s="201"/>
      <c r="AU25" s="201"/>
      <c r="AV25" s="177"/>
      <c r="AW25" s="177"/>
      <c r="AX25" s="177"/>
      <c r="AY25" s="3"/>
      <c r="AZ25" s="3"/>
      <c r="BC25" s="3"/>
    </row>
    <row r="26" spans="1:55" ht="12.75" customHeight="1">
      <c r="A26" s="143" t="s">
        <v>322</v>
      </c>
      <c r="B26" s="83"/>
      <c r="C26" s="237"/>
      <c r="D26" s="30"/>
      <c r="E26" s="201"/>
      <c r="F26" s="234"/>
      <c r="G26" s="234"/>
      <c r="H26" s="234"/>
      <c r="I26" s="238"/>
      <c r="J26" s="234"/>
      <c r="K26" s="234"/>
      <c r="L26" s="234"/>
      <c r="M26" s="238"/>
      <c r="N26" s="234"/>
      <c r="O26" s="234"/>
      <c r="P26" s="234"/>
      <c r="Q26" s="238"/>
      <c r="R26" s="234"/>
      <c r="S26" s="234"/>
      <c r="T26" s="234"/>
      <c r="U26" s="238"/>
      <c r="V26" s="234"/>
      <c r="W26" s="234"/>
      <c r="X26" s="234"/>
      <c r="Y26" s="238"/>
      <c r="Z26" s="234"/>
      <c r="AA26" s="234"/>
      <c r="AB26" s="234"/>
      <c r="AC26" s="238"/>
      <c r="AD26" s="201"/>
      <c r="AE26" s="238"/>
      <c r="AF26" s="238"/>
      <c r="AG26" s="238"/>
      <c r="AH26" s="201"/>
      <c r="AI26" s="238"/>
      <c r="AJ26" s="238"/>
      <c r="AK26" s="238"/>
      <c r="AL26" s="201"/>
      <c r="AM26" s="302"/>
      <c r="AN26" s="302"/>
      <c r="AO26" s="353"/>
      <c r="AP26" s="302"/>
      <c r="AQ26" s="302"/>
      <c r="AR26" s="38">
        <v>0</v>
      </c>
      <c r="AS26" s="30" t="e">
        <v>#DIV/0!</v>
      </c>
      <c r="AT26" s="201"/>
      <c r="AU26" s="201"/>
      <c r="AV26" s="177"/>
      <c r="AW26" s="177"/>
      <c r="AX26" s="177"/>
      <c r="AY26" s="3"/>
      <c r="AZ26" s="3"/>
      <c r="BC26" s="3"/>
    </row>
    <row r="27" spans="1:55" ht="12.75" customHeight="1">
      <c r="A27" s="83"/>
      <c r="B27" s="83" t="s">
        <v>117</v>
      </c>
      <c r="C27" s="38">
        <v>85080</v>
      </c>
      <c r="D27" s="30" t="s">
        <v>44</v>
      </c>
      <c r="E27" s="201"/>
      <c r="F27" s="254"/>
      <c r="G27" s="31">
        <v>85080</v>
      </c>
      <c r="H27" s="31">
        <v>83430</v>
      </c>
      <c r="I27" s="238">
        <v>84185</v>
      </c>
      <c r="J27" s="254">
        <v>66138</v>
      </c>
      <c r="K27" s="33">
        <v>0</v>
      </c>
      <c r="L27" s="31">
        <v>29475</v>
      </c>
      <c r="M27" s="238">
        <v>84536</v>
      </c>
      <c r="N27" s="234">
        <v>75141</v>
      </c>
      <c r="O27" s="33">
        <v>0</v>
      </c>
      <c r="P27" s="33">
        <v>0</v>
      </c>
      <c r="Q27" s="238">
        <v>24125</v>
      </c>
      <c r="R27" s="234">
        <v>13580</v>
      </c>
      <c r="S27" s="234">
        <v>34913</v>
      </c>
      <c r="T27" s="488">
        <v>64733</v>
      </c>
      <c r="U27" s="238">
        <v>82992</v>
      </c>
      <c r="V27" s="234">
        <v>29435</v>
      </c>
      <c r="W27" s="234">
        <v>44600</v>
      </c>
      <c r="X27" s="488">
        <v>85600</v>
      </c>
      <c r="Y27" s="238">
        <v>105788</v>
      </c>
      <c r="Z27" s="234">
        <v>75600</v>
      </c>
      <c r="AA27" s="234">
        <v>39040</v>
      </c>
      <c r="AB27" s="488">
        <v>6854</v>
      </c>
      <c r="AC27" s="29">
        <v>0</v>
      </c>
      <c r="AD27" s="201">
        <v>15038</v>
      </c>
      <c r="AE27" s="29">
        <v>0</v>
      </c>
      <c r="AF27" s="238">
        <v>48130</v>
      </c>
      <c r="AG27" s="238">
        <v>2265</v>
      </c>
      <c r="AH27" s="271">
        <v>0</v>
      </c>
      <c r="AI27" s="29">
        <v>0</v>
      </c>
      <c r="AJ27" s="29">
        <v>0</v>
      </c>
      <c r="AK27" s="238">
        <v>556</v>
      </c>
      <c r="AL27" s="201"/>
      <c r="AM27" s="302">
        <v>66138</v>
      </c>
      <c r="AN27" s="302">
        <v>75141</v>
      </c>
      <c r="AO27" s="353">
        <v>13580</v>
      </c>
      <c r="AP27" s="302">
        <v>29435</v>
      </c>
      <c r="AQ27" s="302">
        <v>75600</v>
      </c>
      <c r="AR27" s="38">
        <v>-46165</v>
      </c>
      <c r="AS27" s="30">
        <v>-0.6106481481481482</v>
      </c>
      <c r="AT27" s="201">
        <v>15038</v>
      </c>
      <c r="AU27" s="29">
        <v>0</v>
      </c>
      <c r="AV27" s="177">
        <v>4684</v>
      </c>
      <c r="AW27" s="177">
        <v>0</v>
      </c>
      <c r="AX27" s="177">
        <v>2541</v>
      </c>
      <c r="AY27" s="3"/>
      <c r="AZ27" s="3"/>
      <c r="BC27" s="3"/>
    </row>
    <row r="28" spans="1:55" s="96" customFormat="1" ht="12.75" customHeight="1">
      <c r="A28" s="83"/>
      <c r="B28" s="83" t="s">
        <v>333</v>
      </c>
      <c r="C28" s="38">
        <v>0</v>
      </c>
      <c r="D28" s="30">
        <v>0</v>
      </c>
      <c r="E28" s="201"/>
      <c r="F28" s="31"/>
      <c r="G28" s="33">
        <v>0</v>
      </c>
      <c r="H28" s="33">
        <v>0</v>
      </c>
      <c r="I28" s="29">
        <v>0</v>
      </c>
      <c r="J28" s="31">
        <v>0</v>
      </c>
      <c r="K28" s="33">
        <v>0</v>
      </c>
      <c r="L28" s="33">
        <v>0</v>
      </c>
      <c r="M28" s="29">
        <v>0</v>
      </c>
      <c r="N28" s="488">
        <v>150000</v>
      </c>
      <c r="O28" s="33">
        <v>0</v>
      </c>
      <c r="P28" s="33">
        <v>0</v>
      </c>
      <c r="Q28" s="29">
        <v>0</v>
      </c>
      <c r="R28" s="33">
        <v>0</v>
      </c>
      <c r="S28" s="33">
        <v>0</v>
      </c>
      <c r="T28" s="33">
        <v>0</v>
      </c>
      <c r="U28" s="29">
        <v>0</v>
      </c>
      <c r="V28" s="33">
        <v>0</v>
      </c>
      <c r="W28" s="33"/>
      <c r="X28" s="33"/>
      <c r="Y28" s="29"/>
      <c r="Z28" s="33"/>
      <c r="AA28" s="33"/>
      <c r="AB28" s="33"/>
      <c r="AC28" s="29"/>
      <c r="AD28" s="271"/>
      <c r="AE28" s="29"/>
      <c r="AF28" s="29"/>
      <c r="AG28" s="29"/>
      <c r="AH28" s="271"/>
      <c r="AI28" s="29"/>
      <c r="AJ28" s="29"/>
      <c r="AK28" s="29"/>
      <c r="AL28" s="201"/>
      <c r="AM28" s="302">
        <v>0</v>
      </c>
      <c r="AN28" s="302">
        <v>150000</v>
      </c>
      <c r="AO28" s="43">
        <v>0</v>
      </c>
      <c r="AP28" s="43">
        <v>0</v>
      </c>
      <c r="AQ28" s="43">
        <v>0</v>
      </c>
      <c r="AR28" s="38"/>
      <c r="AS28" s="30"/>
      <c r="AT28" s="271">
        <v>0</v>
      </c>
      <c r="AU28" s="29"/>
      <c r="AV28" s="177"/>
      <c r="AW28" s="177"/>
      <c r="AX28" s="177"/>
      <c r="AY28" s="210"/>
      <c r="AZ28" s="210"/>
      <c r="BC28" s="210"/>
    </row>
    <row r="29" spans="1:55" ht="12.75" customHeight="1">
      <c r="A29" s="83"/>
      <c r="B29" s="83" t="s">
        <v>360</v>
      </c>
      <c r="C29" s="237">
        <v>-377006</v>
      </c>
      <c r="D29" s="30">
        <v>-0.31600369810643875</v>
      </c>
      <c r="E29" s="201"/>
      <c r="F29" s="234"/>
      <c r="G29" s="234">
        <v>816037</v>
      </c>
      <c r="H29" s="234">
        <v>718815</v>
      </c>
      <c r="I29" s="238">
        <v>1215685</v>
      </c>
      <c r="J29" s="234">
        <v>689020</v>
      </c>
      <c r="K29" s="234">
        <v>1193043</v>
      </c>
      <c r="L29" s="234">
        <v>847665</v>
      </c>
      <c r="M29" s="238">
        <v>1036535</v>
      </c>
      <c r="N29" s="234">
        <v>914649</v>
      </c>
      <c r="O29" s="234">
        <v>952750</v>
      </c>
      <c r="P29" s="234">
        <v>1117268</v>
      </c>
      <c r="Q29" s="238">
        <v>731730</v>
      </c>
      <c r="R29" s="234">
        <v>722613</v>
      </c>
      <c r="S29" s="234">
        <v>853869</v>
      </c>
      <c r="T29" s="234">
        <v>1236229</v>
      </c>
      <c r="U29" s="238">
        <v>702976</v>
      </c>
      <c r="V29" s="234">
        <v>364137</v>
      </c>
      <c r="W29" s="234">
        <v>324877</v>
      </c>
      <c r="X29" s="234">
        <v>382209</v>
      </c>
      <c r="Y29" s="238">
        <v>56318</v>
      </c>
      <c r="Z29" s="234">
        <v>79426</v>
      </c>
      <c r="AA29" s="234">
        <v>62151</v>
      </c>
      <c r="AB29" s="234">
        <v>15194</v>
      </c>
      <c r="AC29" s="238">
        <v>32227</v>
      </c>
      <c r="AD29" s="201">
        <v>13757</v>
      </c>
      <c r="AE29" s="238">
        <v>96383</v>
      </c>
      <c r="AF29" s="238">
        <v>48784</v>
      </c>
      <c r="AG29" s="238">
        <v>85222</v>
      </c>
      <c r="AH29" s="201">
        <v>41176</v>
      </c>
      <c r="AI29" s="238">
        <v>54467</v>
      </c>
      <c r="AJ29" s="238">
        <v>25926</v>
      </c>
      <c r="AK29" s="238">
        <v>109923</v>
      </c>
      <c r="AL29" s="201"/>
      <c r="AM29" s="302">
        <v>689020</v>
      </c>
      <c r="AN29" s="302">
        <v>914649</v>
      </c>
      <c r="AO29" s="353">
        <v>722613</v>
      </c>
      <c r="AP29" s="302">
        <v>364137</v>
      </c>
      <c r="AQ29" s="302">
        <v>79426</v>
      </c>
      <c r="AR29" s="38">
        <v>284711</v>
      </c>
      <c r="AS29" s="30">
        <v>3.5846070556241028</v>
      </c>
      <c r="AT29" s="201">
        <v>13757</v>
      </c>
      <c r="AU29" s="201">
        <v>41176</v>
      </c>
      <c r="AV29" s="177">
        <v>37169</v>
      </c>
      <c r="AW29" s="177">
        <v>105527</v>
      </c>
      <c r="AX29" s="177">
        <v>281723</v>
      </c>
      <c r="AY29" s="3"/>
      <c r="AZ29" s="3"/>
      <c r="BC29" s="3"/>
    </row>
    <row r="30" spans="1:55" s="96" customFormat="1" ht="12.75" customHeight="1">
      <c r="A30" s="83"/>
      <c r="B30" s="83" t="s">
        <v>304</v>
      </c>
      <c r="C30" s="237">
        <v>-616996</v>
      </c>
      <c r="D30" s="30">
        <v>-0.23007000960184953</v>
      </c>
      <c r="E30" s="201"/>
      <c r="F30" s="31"/>
      <c r="G30" s="234">
        <v>2064779</v>
      </c>
      <c r="H30" s="234">
        <v>2317668</v>
      </c>
      <c r="I30" s="238">
        <v>2915765</v>
      </c>
      <c r="J30" s="31">
        <v>2746790</v>
      </c>
      <c r="K30" s="234">
        <v>2681775</v>
      </c>
      <c r="L30" s="234">
        <v>3150580</v>
      </c>
      <c r="M30" s="238">
        <v>2887434</v>
      </c>
      <c r="N30" s="31">
        <v>3590266</v>
      </c>
      <c r="O30" s="234">
        <v>2592774</v>
      </c>
      <c r="P30" s="234">
        <v>3663323</v>
      </c>
      <c r="Q30" s="238">
        <v>2802669</v>
      </c>
      <c r="R30" s="234">
        <v>3557275</v>
      </c>
      <c r="S30" s="234">
        <v>2910423</v>
      </c>
      <c r="T30" s="234">
        <v>3257736</v>
      </c>
      <c r="U30" s="238">
        <v>2483250</v>
      </c>
      <c r="V30" s="234">
        <v>2308146</v>
      </c>
      <c r="W30" s="234">
        <v>1794123</v>
      </c>
      <c r="X30" s="234">
        <v>2535971</v>
      </c>
      <c r="Y30" s="238">
        <v>1622288</v>
      </c>
      <c r="Z30" s="234">
        <v>1469369</v>
      </c>
      <c r="AA30" s="234">
        <v>1195533</v>
      </c>
      <c r="AB30" s="234">
        <v>1480714</v>
      </c>
      <c r="AC30" s="238">
        <v>1836764</v>
      </c>
      <c r="AD30" s="201">
        <v>1687479</v>
      </c>
      <c r="AE30" s="238">
        <v>1461130</v>
      </c>
      <c r="AF30" s="238">
        <v>2021498</v>
      </c>
      <c r="AG30" s="238">
        <v>2189371</v>
      </c>
      <c r="AH30" s="201">
        <v>2156540</v>
      </c>
      <c r="AI30" s="238">
        <v>1380767</v>
      </c>
      <c r="AJ30" s="238">
        <v>1311248</v>
      </c>
      <c r="AK30" s="238">
        <v>1359198</v>
      </c>
      <c r="AL30" s="201"/>
      <c r="AM30" s="302">
        <v>2746790</v>
      </c>
      <c r="AN30" s="302">
        <v>3590266</v>
      </c>
      <c r="AO30" s="353">
        <v>3557275</v>
      </c>
      <c r="AP30" s="302">
        <v>2308146</v>
      </c>
      <c r="AQ30" s="302">
        <v>1469369</v>
      </c>
      <c r="AR30" s="38">
        <v>838777</v>
      </c>
      <c r="AS30" s="30">
        <v>0.5708416333814038</v>
      </c>
      <c r="AT30" s="201">
        <v>1687479</v>
      </c>
      <c r="AU30" s="201">
        <v>2156540</v>
      </c>
      <c r="AV30" s="177">
        <v>1832956</v>
      </c>
      <c r="AW30" s="177">
        <v>1262072</v>
      </c>
      <c r="AX30" s="177">
        <v>1048395</v>
      </c>
      <c r="AY30" s="210"/>
      <c r="AZ30" s="210"/>
      <c r="BC30" s="210"/>
    </row>
    <row r="31" spans="1:55" s="96" customFormat="1" ht="12.75" customHeight="1">
      <c r="A31" s="83"/>
      <c r="B31" s="83" t="s">
        <v>118</v>
      </c>
      <c r="C31" s="38">
        <v>-2494</v>
      </c>
      <c r="D31" s="30">
        <v>-1</v>
      </c>
      <c r="E31" s="201"/>
      <c r="F31" s="31"/>
      <c r="G31" s="31">
        <v>0</v>
      </c>
      <c r="H31" s="33">
        <v>0</v>
      </c>
      <c r="I31" s="29">
        <v>0</v>
      </c>
      <c r="J31" s="31">
        <v>4428</v>
      </c>
      <c r="K31" s="31">
        <v>2494</v>
      </c>
      <c r="L31" s="33">
        <v>0</v>
      </c>
      <c r="M31" s="29">
        <v>0</v>
      </c>
      <c r="N31" s="31">
        <v>0</v>
      </c>
      <c r="O31" s="31">
        <v>0</v>
      </c>
      <c r="P31" s="33">
        <v>0</v>
      </c>
      <c r="Q31" s="29">
        <v>0</v>
      </c>
      <c r="R31" s="234">
        <v>23977</v>
      </c>
      <c r="S31" s="31">
        <v>8668</v>
      </c>
      <c r="T31" s="33">
        <v>0</v>
      </c>
      <c r="U31" s="29">
        <v>0</v>
      </c>
      <c r="V31" s="234">
        <v>5385</v>
      </c>
      <c r="W31" s="31">
        <v>4590</v>
      </c>
      <c r="X31" s="33">
        <v>0</v>
      </c>
      <c r="Y31" s="29">
        <v>0</v>
      </c>
      <c r="Z31" s="33">
        <v>0</v>
      </c>
      <c r="AA31" s="33">
        <v>0</v>
      </c>
      <c r="AB31" s="33">
        <v>0</v>
      </c>
      <c r="AC31" s="29">
        <v>0</v>
      </c>
      <c r="AD31" s="271">
        <v>0</v>
      </c>
      <c r="AE31" s="29">
        <v>0</v>
      </c>
      <c r="AF31" s="29">
        <v>0</v>
      </c>
      <c r="AG31" s="238">
        <v>2528</v>
      </c>
      <c r="AH31" s="201">
        <v>15035</v>
      </c>
      <c r="AI31" s="238">
        <v>3681</v>
      </c>
      <c r="AJ31" s="238">
        <v>1150</v>
      </c>
      <c r="AK31" s="238">
        <v>8522</v>
      </c>
      <c r="AL31" s="201"/>
      <c r="AM31" s="302">
        <v>4428</v>
      </c>
      <c r="AN31" s="302">
        <v>0</v>
      </c>
      <c r="AO31" s="353">
        <v>23977</v>
      </c>
      <c r="AP31" s="43">
        <v>5385</v>
      </c>
      <c r="AQ31" s="43">
        <v>0</v>
      </c>
      <c r="AR31" s="38">
        <v>5385</v>
      </c>
      <c r="AS31" s="30" t="e">
        <v>#DIV/0!</v>
      </c>
      <c r="AT31" s="271">
        <v>0</v>
      </c>
      <c r="AU31" s="201">
        <v>15035</v>
      </c>
      <c r="AV31" s="177">
        <v>15334</v>
      </c>
      <c r="AW31" s="177">
        <v>6737</v>
      </c>
      <c r="AX31" s="177">
        <v>16905</v>
      </c>
      <c r="AY31" s="210"/>
      <c r="AZ31" s="210"/>
      <c r="BC31" s="210"/>
    </row>
    <row r="32" spans="1:55" s="96" customFormat="1" ht="12.75" customHeight="1">
      <c r="A32" s="83"/>
      <c r="B32" s="83" t="s">
        <v>398</v>
      </c>
      <c r="C32" s="38">
        <v>-8230</v>
      </c>
      <c r="D32" s="30">
        <v>-0.5788437192291461</v>
      </c>
      <c r="E32" s="201"/>
      <c r="F32" s="31"/>
      <c r="G32" s="31">
        <v>5988</v>
      </c>
      <c r="H32" s="31">
        <v>14288</v>
      </c>
      <c r="I32" s="28">
        <v>14218</v>
      </c>
      <c r="J32" s="31">
        <v>14218</v>
      </c>
      <c r="K32" s="31">
        <v>14218</v>
      </c>
      <c r="L32" s="31">
        <v>6000</v>
      </c>
      <c r="M32" s="29">
        <v>0</v>
      </c>
      <c r="N32" s="31">
        <v>0</v>
      </c>
      <c r="O32" s="31">
        <v>0</v>
      </c>
      <c r="P32" s="33">
        <v>0</v>
      </c>
      <c r="Q32" s="29">
        <v>0</v>
      </c>
      <c r="R32" s="33">
        <v>0</v>
      </c>
      <c r="S32" s="33">
        <v>0</v>
      </c>
      <c r="T32" s="33">
        <v>0</v>
      </c>
      <c r="U32" s="29"/>
      <c r="V32" s="234"/>
      <c r="W32" s="31"/>
      <c r="X32" s="33"/>
      <c r="Y32" s="29"/>
      <c r="Z32" s="33"/>
      <c r="AA32" s="33"/>
      <c r="AB32" s="33"/>
      <c r="AC32" s="29"/>
      <c r="AD32" s="271"/>
      <c r="AE32" s="29"/>
      <c r="AF32" s="29"/>
      <c r="AG32" s="238"/>
      <c r="AH32" s="201"/>
      <c r="AI32" s="238"/>
      <c r="AJ32" s="238"/>
      <c r="AK32" s="238"/>
      <c r="AL32" s="201"/>
      <c r="AM32" s="302">
        <v>14218</v>
      </c>
      <c r="AN32" s="302">
        <v>0</v>
      </c>
      <c r="AO32" s="43">
        <v>0</v>
      </c>
      <c r="AP32" s="43">
        <v>0</v>
      </c>
      <c r="AQ32" s="43">
        <v>0</v>
      </c>
      <c r="AR32" s="271">
        <v>0</v>
      </c>
      <c r="AS32" s="30"/>
      <c r="AT32" s="271">
        <v>0</v>
      </c>
      <c r="AU32" s="238"/>
      <c r="AV32" s="177"/>
      <c r="AW32" s="177"/>
      <c r="AX32" s="177"/>
      <c r="AY32" s="210"/>
      <c r="AZ32" s="210"/>
      <c r="BC32" s="210"/>
    </row>
    <row r="33" spans="1:55" s="96" customFormat="1" ht="12.75" customHeight="1">
      <c r="A33" s="83"/>
      <c r="B33" s="83" t="s">
        <v>361</v>
      </c>
      <c r="C33" s="38">
        <v>955</v>
      </c>
      <c r="D33" s="30">
        <v>0.26713286713286716</v>
      </c>
      <c r="E33" s="201"/>
      <c r="F33" s="31"/>
      <c r="G33" s="31">
        <v>4530</v>
      </c>
      <c r="H33" s="31">
        <v>1493</v>
      </c>
      <c r="I33" s="28">
        <v>1711</v>
      </c>
      <c r="J33" s="31">
        <v>2576</v>
      </c>
      <c r="K33" s="31">
        <v>3575</v>
      </c>
      <c r="L33" s="31">
        <v>3872</v>
      </c>
      <c r="M33" s="28">
        <v>7482</v>
      </c>
      <c r="N33" s="31">
        <v>8088</v>
      </c>
      <c r="O33" s="31">
        <v>8840</v>
      </c>
      <c r="P33" s="31">
        <v>6082</v>
      </c>
      <c r="Q33" s="28">
        <v>7340</v>
      </c>
      <c r="R33" s="31">
        <v>8163</v>
      </c>
      <c r="S33" s="31">
        <v>8285</v>
      </c>
      <c r="T33" s="31">
        <v>7688</v>
      </c>
      <c r="U33" s="28">
        <v>6690</v>
      </c>
      <c r="V33" s="33">
        <v>0</v>
      </c>
      <c r="W33" s="33">
        <v>0</v>
      </c>
      <c r="X33" s="33">
        <v>0</v>
      </c>
      <c r="Y33" s="29">
        <v>0</v>
      </c>
      <c r="Z33" s="33">
        <v>0</v>
      </c>
      <c r="AA33" s="33">
        <v>0</v>
      </c>
      <c r="AB33" s="33">
        <v>0</v>
      </c>
      <c r="AC33" s="29">
        <v>0</v>
      </c>
      <c r="AD33" s="271">
        <v>0</v>
      </c>
      <c r="AE33" s="29">
        <v>0</v>
      </c>
      <c r="AF33" s="29">
        <v>0</v>
      </c>
      <c r="AG33" s="29">
        <v>0</v>
      </c>
      <c r="AH33" s="271">
        <v>0</v>
      </c>
      <c r="AI33" s="29">
        <v>0</v>
      </c>
      <c r="AJ33" s="29">
        <v>0</v>
      </c>
      <c r="AK33" s="29">
        <v>0</v>
      </c>
      <c r="AL33" s="201"/>
      <c r="AM33" s="302">
        <v>2576</v>
      </c>
      <c r="AN33" s="302">
        <v>8088</v>
      </c>
      <c r="AO33" s="353">
        <v>8163</v>
      </c>
      <c r="AP33" s="43">
        <v>0</v>
      </c>
      <c r="AQ33" s="43">
        <v>0</v>
      </c>
      <c r="AR33" s="38">
        <v>0</v>
      </c>
      <c r="AS33" s="30" t="e">
        <v>#DIV/0!</v>
      </c>
      <c r="AT33" s="271">
        <v>0</v>
      </c>
      <c r="AU33" s="29">
        <v>0</v>
      </c>
      <c r="AV33" s="177">
        <v>0</v>
      </c>
      <c r="AW33" s="177">
        <v>0</v>
      </c>
      <c r="AX33" s="177">
        <v>973</v>
      </c>
      <c r="AY33" s="210"/>
      <c r="AZ33" s="210"/>
      <c r="BC33" s="210"/>
    </row>
    <row r="34" spans="1:55" s="96" customFormat="1" ht="12.75" customHeight="1">
      <c r="A34" s="83"/>
      <c r="B34" s="83" t="s">
        <v>119</v>
      </c>
      <c r="C34" s="39">
        <v>0</v>
      </c>
      <c r="D34" s="30">
        <v>0</v>
      </c>
      <c r="E34" s="201"/>
      <c r="F34" s="234"/>
      <c r="G34" s="234">
        <v>15000</v>
      </c>
      <c r="H34" s="234">
        <v>15000</v>
      </c>
      <c r="I34" s="238">
        <v>15000</v>
      </c>
      <c r="J34" s="234">
        <v>15000</v>
      </c>
      <c r="K34" s="234">
        <v>15000</v>
      </c>
      <c r="L34" s="234">
        <v>15000</v>
      </c>
      <c r="M34" s="238">
        <v>15000</v>
      </c>
      <c r="N34" s="234">
        <v>15000</v>
      </c>
      <c r="O34" s="234">
        <v>15000</v>
      </c>
      <c r="P34" s="234">
        <v>15000</v>
      </c>
      <c r="Q34" s="238">
        <v>15000</v>
      </c>
      <c r="R34" s="234">
        <v>15000</v>
      </c>
      <c r="S34" s="234">
        <v>15000</v>
      </c>
      <c r="T34" s="234">
        <v>15000</v>
      </c>
      <c r="U34" s="238">
        <v>15000</v>
      </c>
      <c r="V34" s="234">
        <v>15000</v>
      </c>
      <c r="W34" s="234">
        <v>15000</v>
      </c>
      <c r="X34" s="234">
        <v>15000</v>
      </c>
      <c r="Y34" s="238">
        <v>15000</v>
      </c>
      <c r="Z34" s="234">
        <v>25000</v>
      </c>
      <c r="AA34" s="234">
        <v>25000</v>
      </c>
      <c r="AB34" s="234">
        <v>25000</v>
      </c>
      <c r="AC34" s="238">
        <v>25000</v>
      </c>
      <c r="AD34" s="201">
        <v>25000</v>
      </c>
      <c r="AE34" s="238">
        <v>25000</v>
      </c>
      <c r="AF34" s="238">
        <v>25000</v>
      </c>
      <c r="AG34" s="238">
        <v>25000</v>
      </c>
      <c r="AH34" s="201">
        <v>25000</v>
      </c>
      <c r="AI34" s="29">
        <v>0</v>
      </c>
      <c r="AJ34" s="29">
        <v>0</v>
      </c>
      <c r="AK34" s="29">
        <v>0</v>
      </c>
      <c r="AL34" s="201"/>
      <c r="AM34" s="302">
        <v>15000</v>
      </c>
      <c r="AN34" s="302">
        <v>15000</v>
      </c>
      <c r="AO34" s="353">
        <v>15000</v>
      </c>
      <c r="AP34" s="302">
        <v>15000</v>
      </c>
      <c r="AQ34" s="302">
        <v>25000</v>
      </c>
      <c r="AR34" s="38">
        <v>-10000</v>
      </c>
      <c r="AS34" s="30">
        <v>-0.4</v>
      </c>
      <c r="AT34" s="201">
        <v>25000</v>
      </c>
      <c r="AU34" s="201">
        <v>25000</v>
      </c>
      <c r="AV34" s="177">
        <v>0</v>
      </c>
      <c r="AW34" s="177">
        <v>0</v>
      </c>
      <c r="AX34" s="177">
        <v>10000</v>
      </c>
      <c r="AY34" s="210"/>
      <c r="AZ34" s="210"/>
      <c r="BC34" s="210"/>
    </row>
    <row r="35" spans="1:55" s="96" customFormat="1" ht="12.75" customHeight="1">
      <c r="A35" s="83"/>
      <c r="B35" s="83" t="s">
        <v>387</v>
      </c>
      <c r="C35" s="38">
        <v>-3803</v>
      </c>
      <c r="D35" s="30">
        <v>-0.23898699176773708</v>
      </c>
      <c r="E35" s="201"/>
      <c r="F35" s="31"/>
      <c r="G35" s="31">
        <v>12110</v>
      </c>
      <c r="H35" s="31">
        <v>12375</v>
      </c>
      <c r="I35" s="28">
        <v>12244</v>
      </c>
      <c r="J35" s="31">
        <v>16169</v>
      </c>
      <c r="K35" s="31">
        <v>15913</v>
      </c>
      <c r="L35" s="31">
        <v>16047</v>
      </c>
      <c r="M35" s="28">
        <v>16882</v>
      </c>
      <c r="N35" s="31">
        <v>17454</v>
      </c>
      <c r="O35" s="31">
        <v>18218</v>
      </c>
      <c r="P35" s="33">
        <v>0</v>
      </c>
      <c r="Q35" s="29">
        <v>0</v>
      </c>
      <c r="R35" s="33">
        <v>0</v>
      </c>
      <c r="S35" s="33">
        <v>0</v>
      </c>
      <c r="T35" s="33">
        <v>0</v>
      </c>
      <c r="U35" s="29">
        <v>0</v>
      </c>
      <c r="V35" s="33">
        <v>0</v>
      </c>
      <c r="W35" s="33">
        <v>0</v>
      </c>
      <c r="X35" s="234"/>
      <c r="Y35" s="238"/>
      <c r="Z35" s="234"/>
      <c r="AA35" s="234"/>
      <c r="AB35" s="234"/>
      <c r="AC35" s="238"/>
      <c r="AD35" s="201"/>
      <c r="AE35" s="238"/>
      <c r="AF35" s="238"/>
      <c r="AG35" s="238"/>
      <c r="AH35" s="201"/>
      <c r="AI35" s="29"/>
      <c r="AJ35" s="29"/>
      <c r="AK35" s="29"/>
      <c r="AL35" s="201"/>
      <c r="AM35" s="302">
        <v>16169</v>
      </c>
      <c r="AN35" s="302">
        <v>17454</v>
      </c>
      <c r="AO35" s="28">
        <v>0</v>
      </c>
      <c r="AP35" s="43">
        <v>0</v>
      </c>
      <c r="AQ35" s="43">
        <v>0</v>
      </c>
      <c r="AR35" s="38">
        <v>0</v>
      </c>
      <c r="AS35" s="30" t="e">
        <v>#DIV/0!</v>
      </c>
      <c r="AT35" s="271">
        <v>0</v>
      </c>
      <c r="AU35" s="29">
        <v>0</v>
      </c>
      <c r="AV35" s="177"/>
      <c r="AW35" s="177"/>
      <c r="AX35" s="177"/>
      <c r="AY35" s="210"/>
      <c r="AZ35" s="210"/>
      <c r="BC35" s="210"/>
    </row>
    <row r="36" spans="1:55" s="96" customFormat="1" ht="12.75" customHeight="1">
      <c r="A36" s="83"/>
      <c r="B36" s="83" t="s">
        <v>120</v>
      </c>
      <c r="C36" s="237">
        <v>68213</v>
      </c>
      <c r="D36" s="30">
        <v>0.06489165064503516</v>
      </c>
      <c r="E36" s="201"/>
      <c r="F36" s="234"/>
      <c r="G36" s="234">
        <v>1119396</v>
      </c>
      <c r="H36" s="234">
        <v>1082613</v>
      </c>
      <c r="I36" s="238">
        <v>1068625</v>
      </c>
      <c r="J36" s="234">
        <v>1049163</v>
      </c>
      <c r="K36" s="234">
        <v>1051183</v>
      </c>
      <c r="L36" s="234">
        <v>1033842</v>
      </c>
      <c r="M36" s="238">
        <v>1057969</v>
      </c>
      <c r="N36" s="234">
        <v>992125</v>
      </c>
      <c r="O36" s="234">
        <v>852295</v>
      </c>
      <c r="P36" s="234">
        <v>863493</v>
      </c>
      <c r="Q36" s="238">
        <v>848241</v>
      </c>
      <c r="R36" s="234">
        <v>756892</v>
      </c>
      <c r="S36" s="234">
        <v>724726</v>
      </c>
      <c r="T36" s="234">
        <v>680530</v>
      </c>
      <c r="U36" s="238">
        <v>670996</v>
      </c>
      <c r="V36" s="234">
        <v>401745</v>
      </c>
      <c r="W36" s="234">
        <v>400667</v>
      </c>
      <c r="X36" s="234">
        <v>388225</v>
      </c>
      <c r="Y36" s="238">
        <v>385396</v>
      </c>
      <c r="Z36" s="234">
        <v>372704</v>
      </c>
      <c r="AA36" s="234">
        <v>357961</v>
      </c>
      <c r="AB36" s="234">
        <v>414308</v>
      </c>
      <c r="AC36" s="238">
        <v>439902</v>
      </c>
      <c r="AD36" s="201">
        <v>357444</v>
      </c>
      <c r="AE36" s="238">
        <v>390228</v>
      </c>
      <c r="AF36" s="238">
        <v>382313</v>
      </c>
      <c r="AG36" s="238">
        <v>389241</v>
      </c>
      <c r="AH36" s="201">
        <v>372191</v>
      </c>
      <c r="AI36" s="238">
        <v>355228</v>
      </c>
      <c r="AJ36" s="238">
        <v>327089</v>
      </c>
      <c r="AK36" s="238">
        <v>311198</v>
      </c>
      <c r="AL36" s="201"/>
      <c r="AM36" s="302">
        <v>1049163</v>
      </c>
      <c r="AN36" s="302">
        <v>992125</v>
      </c>
      <c r="AO36" s="353">
        <v>756892</v>
      </c>
      <c r="AP36" s="302">
        <v>401745</v>
      </c>
      <c r="AQ36" s="302">
        <v>372704</v>
      </c>
      <c r="AR36" s="38">
        <v>29041</v>
      </c>
      <c r="AS36" s="30">
        <v>0.07791974328153173</v>
      </c>
      <c r="AT36" s="201">
        <v>357444</v>
      </c>
      <c r="AU36" s="201">
        <v>372191</v>
      </c>
      <c r="AV36" s="177">
        <v>287830</v>
      </c>
      <c r="AW36" s="177">
        <v>222211</v>
      </c>
      <c r="AX36" s="177">
        <v>98687</v>
      </c>
      <c r="AY36" s="210"/>
      <c r="AZ36" s="210"/>
      <c r="BC36" s="210"/>
    </row>
    <row r="37" spans="1:55" s="96" customFormat="1" ht="12.75" customHeight="1" thickBot="1">
      <c r="A37" s="143" t="s">
        <v>321</v>
      </c>
      <c r="B37" s="143"/>
      <c r="C37" s="260">
        <v>-854281</v>
      </c>
      <c r="D37" s="534">
        <v>-0.17163883877705563</v>
      </c>
      <c r="E37" s="616"/>
      <c r="F37" s="261"/>
      <c r="G37" s="261">
        <v>4122920</v>
      </c>
      <c r="H37" s="261">
        <v>4245682</v>
      </c>
      <c r="I37" s="262">
        <v>5327433</v>
      </c>
      <c r="J37" s="261">
        <v>4603502</v>
      </c>
      <c r="K37" s="261">
        <v>4977201</v>
      </c>
      <c r="L37" s="261">
        <v>5102481</v>
      </c>
      <c r="M37" s="262">
        <v>5105838</v>
      </c>
      <c r="N37" s="261">
        <v>5762723</v>
      </c>
      <c r="O37" s="261">
        <v>4439877</v>
      </c>
      <c r="P37" s="261">
        <v>5665166</v>
      </c>
      <c r="Q37" s="262">
        <v>4429105</v>
      </c>
      <c r="R37" s="261">
        <v>5097500</v>
      </c>
      <c r="S37" s="261">
        <v>4555884</v>
      </c>
      <c r="T37" s="261">
        <v>5261916</v>
      </c>
      <c r="U37" s="262">
        <v>3961904</v>
      </c>
      <c r="V37" s="261">
        <v>3123848</v>
      </c>
      <c r="W37" s="261">
        <v>2583857</v>
      </c>
      <c r="X37" s="261">
        <v>3407005</v>
      </c>
      <c r="Y37" s="262">
        <v>2184790</v>
      </c>
      <c r="Z37" s="261">
        <v>2022099</v>
      </c>
      <c r="AA37" s="261">
        <v>1679685</v>
      </c>
      <c r="AB37" s="261">
        <v>1942070</v>
      </c>
      <c r="AC37" s="262">
        <v>2333893</v>
      </c>
      <c r="AD37" s="263">
        <v>2098718</v>
      </c>
      <c r="AE37" s="262">
        <v>1972741</v>
      </c>
      <c r="AF37" s="262">
        <v>2525725</v>
      </c>
      <c r="AG37" s="262">
        <v>2693627</v>
      </c>
      <c r="AH37" s="263">
        <v>2609942</v>
      </c>
      <c r="AI37" s="262">
        <v>1794143</v>
      </c>
      <c r="AJ37" s="262">
        <v>1665413</v>
      </c>
      <c r="AK37" s="262">
        <v>1789397</v>
      </c>
      <c r="AL37" s="616"/>
      <c r="AM37" s="903">
        <v>4603502</v>
      </c>
      <c r="AN37" s="903">
        <v>5762723</v>
      </c>
      <c r="AO37" s="904">
        <v>5097500</v>
      </c>
      <c r="AP37" s="903">
        <v>3123848</v>
      </c>
      <c r="AQ37" s="903">
        <v>2022099</v>
      </c>
      <c r="AR37" s="38">
        <v>1101749</v>
      </c>
      <c r="AS37" s="30">
        <v>0.5448541342436746</v>
      </c>
      <c r="AT37" s="263">
        <v>2098718</v>
      </c>
      <c r="AU37" s="263">
        <v>2609942</v>
      </c>
      <c r="AV37" s="375">
        <v>2177973</v>
      </c>
      <c r="AW37" s="375">
        <v>1638165</v>
      </c>
      <c r="AX37" s="375">
        <v>1508366</v>
      </c>
      <c r="AY37" s="210"/>
      <c r="AZ37" s="210"/>
      <c r="BC37" s="210"/>
    </row>
    <row r="38" spans="1:55" ht="12.75" customHeight="1" thickTop="1">
      <c r="A38" s="144"/>
      <c r="B38" s="144"/>
      <c r="C38" s="254"/>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32"/>
      <c r="AD38" s="432"/>
      <c r="AE38" s="432"/>
      <c r="AF38" s="432"/>
      <c r="AG38" s="432"/>
      <c r="AH38" s="432"/>
      <c r="AI38" s="432"/>
      <c r="AJ38" s="432"/>
      <c r="AK38" s="432"/>
      <c r="AL38" s="243"/>
      <c r="AM38" s="243"/>
      <c r="AN38" s="243"/>
      <c r="AO38" s="243"/>
      <c r="AP38" s="243"/>
      <c r="AQ38" s="243"/>
      <c r="AR38" s="254"/>
      <c r="AS38" s="41"/>
      <c r="AY38" s="3"/>
      <c r="AZ38" s="3"/>
      <c r="BC38" s="3"/>
    </row>
    <row r="39" spans="1:52" ht="12.75" customHeight="1">
      <c r="A39" s="7" t="s">
        <v>405</v>
      </c>
      <c r="B39" s="13"/>
      <c r="V39" s="255"/>
      <c r="W39" s="255"/>
      <c r="X39" s="255"/>
      <c r="Y39" s="255"/>
      <c r="Z39" s="255"/>
      <c r="AA39" s="255"/>
      <c r="AB39" s="255"/>
      <c r="AC39" s="2"/>
      <c r="AG39" s="2"/>
      <c r="AI39" s="2"/>
      <c r="AJ39" s="2"/>
      <c r="AK39" s="256"/>
      <c r="AL39" s="245"/>
      <c r="AM39" s="245"/>
      <c r="AN39" s="245"/>
      <c r="AO39" s="245"/>
      <c r="AP39" s="245"/>
      <c r="AQ39" s="245"/>
      <c r="AR39" s="255"/>
      <c r="AS39" s="255"/>
      <c r="AX39" s="3"/>
      <c r="AY39" s="3"/>
      <c r="AZ39" s="3"/>
    </row>
    <row r="40" spans="1:52" ht="12.75">
      <c r="A40" s="3"/>
      <c r="B40" s="3"/>
      <c r="C40" s="243"/>
      <c r="D40" s="243"/>
      <c r="E40" s="243"/>
      <c r="F40" s="243"/>
      <c r="G40" s="243"/>
      <c r="H40" s="243"/>
      <c r="I40" s="243"/>
      <c r="J40" s="243"/>
      <c r="K40" s="243"/>
      <c r="L40" s="243"/>
      <c r="M40" s="243"/>
      <c r="N40" s="243"/>
      <c r="O40" s="243"/>
      <c r="P40" s="243"/>
      <c r="Q40" s="243"/>
      <c r="R40" s="243"/>
      <c r="S40" s="243"/>
      <c r="T40" s="243"/>
      <c r="U40" s="683"/>
      <c r="V40" s="243"/>
      <c r="W40" s="243"/>
      <c r="X40" s="243"/>
      <c r="Y40" s="243"/>
      <c r="Z40" s="243"/>
      <c r="AA40" s="243"/>
      <c r="AB40" s="243"/>
      <c r="AC40" s="32"/>
      <c r="AD40" s="44"/>
      <c r="AE40" s="32"/>
      <c r="AG40" s="32"/>
      <c r="AH40" s="37"/>
      <c r="AI40" s="37"/>
      <c r="AJ40" s="34"/>
      <c r="AK40" s="255"/>
      <c r="AL40" s="245"/>
      <c r="AM40" s="245"/>
      <c r="AN40" s="245"/>
      <c r="AO40" s="245"/>
      <c r="AP40" s="245"/>
      <c r="AQ40" s="245"/>
      <c r="AR40" s="243"/>
      <c r="AS40" s="243"/>
      <c r="AT40" s="254"/>
      <c r="AU40" s="254"/>
      <c r="AX40" s="3"/>
      <c r="AY40" s="3"/>
      <c r="AZ40" s="3"/>
    </row>
    <row r="41" spans="3:52" ht="12.75">
      <c r="C41" s="83"/>
      <c r="D41" s="83"/>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243"/>
      <c r="AD41" s="245"/>
      <c r="AE41" s="245"/>
      <c r="AF41" s="245"/>
      <c r="AG41" s="234"/>
      <c r="AH41" s="234"/>
      <c r="AI41" s="234"/>
      <c r="AJ41" s="234"/>
      <c r="AK41" s="31"/>
      <c r="AL41" s="83"/>
      <c r="AM41" s="83"/>
      <c r="AN41" s="83"/>
      <c r="AO41" s="83"/>
      <c r="AP41" s="83"/>
      <c r="AQ41" s="83"/>
      <c r="AR41" s="83"/>
      <c r="AS41" s="167">
        <v>1072708</v>
      </c>
      <c r="AT41" s="31"/>
      <c r="AU41" s="31"/>
      <c r="AX41" s="3"/>
      <c r="AY41" s="3"/>
      <c r="AZ41" s="3"/>
    </row>
  </sheetData>
  <sheetProtection/>
  <mergeCells count="4">
    <mergeCell ref="C11:D11"/>
    <mergeCell ref="AR10:AS10"/>
    <mergeCell ref="AR11:AS11"/>
    <mergeCell ref="C10:D10"/>
  </mergeCells>
  <conditionalFormatting sqref="A38:B3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11</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4:BI77"/>
  <sheetViews>
    <sheetView zoomScaleSheetLayoutView="70" workbookViewId="0" topLeftCell="A1">
      <selection activeCell="A1" sqref="A1"/>
    </sheetView>
  </sheetViews>
  <sheetFormatPr defaultColWidth="9.140625" defaultRowHeight="12.75"/>
  <cols>
    <col min="1" max="1" width="2.7109375" style="0" customWidth="1"/>
    <col min="2" max="2" width="49.00390625" style="0" customWidth="1"/>
    <col min="3" max="3" width="9.57421875" style="0" customWidth="1"/>
    <col min="4" max="4" width="9.7109375" style="0" customWidth="1"/>
    <col min="5" max="5" width="1.57421875" style="3" customWidth="1"/>
    <col min="6" max="6" width="8.421875" style="3" hidden="1" customWidth="1"/>
    <col min="7" max="15" width="8.421875" style="3" customWidth="1"/>
    <col min="16" max="17" width="8.421875" style="3" hidden="1" customWidth="1"/>
    <col min="18" max="26" width="8.7109375" style="3" hidden="1" customWidth="1"/>
    <col min="27" max="28" width="9.7109375" style="3" hidden="1" customWidth="1"/>
    <col min="29" max="37" width="9.7109375" style="0" hidden="1" customWidth="1"/>
    <col min="38" max="38" width="1.57421875" style="0" customWidth="1"/>
    <col min="39" max="39" width="6.00390625" style="0" hidden="1" customWidth="1"/>
    <col min="40" max="40" width="7.00390625" style="0" hidden="1" customWidth="1"/>
    <col min="41" max="41" width="6.7109375" style="0" hidden="1" customWidth="1"/>
    <col min="42" max="42" width="7.28125" style="0" hidden="1" customWidth="1"/>
    <col min="43" max="43" width="1.57421875" style="0" hidden="1" customWidth="1"/>
    <col min="44" max="48" width="8.7109375" style="0" customWidth="1"/>
    <col min="49" max="50" width="8.7109375" style="0" hidden="1" customWidth="1"/>
    <col min="51" max="51" width="8.140625" style="0" hidden="1" customWidth="1"/>
    <col min="52" max="53" width="9.7109375" style="0" hidden="1" customWidth="1"/>
    <col min="54" max="54" width="1.57421875" style="0" customWidth="1"/>
  </cols>
  <sheetData>
    <row r="1" ht="12.75"/>
    <row r="2" ht="12.75"/>
    <row r="3" ht="12.75"/>
    <row r="4" spans="9:16" ht="12.75">
      <c r="I4" s="15"/>
      <c r="M4" s="15"/>
      <c r="N4" s="15"/>
      <c r="O4" s="15"/>
      <c r="P4" s="15"/>
    </row>
    <row r="5" spans="1:31" ht="12.75">
      <c r="A5" s="3"/>
      <c r="B5" s="3"/>
      <c r="C5" s="3"/>
      <c r="D5" s="3"/>
      <c r="AC5" s="3"/>
      <c r="AD5" s="3"/>
      <c r="AE5" s="3"/>
    </row>
    <row r="6" spans="1:31" ht="18" customHeight="1">
      <c r="A6" s="264" t="s">
        <v>57</v>
      </c>
      <c r="B6" s="3"/>
      <c r="C6" s="3"/>
      <c r="D6" s="3"/>
      <c r="AC6" s="3"/>
      <c r="AD6" s="3"/>
      <c r="AE6" s="3"/>
    </row>
    <row r="7" spans="1:52" ht="9.75" customHeight="1">
      <c r="A7" s="2"/>
      <c r="B7" s="2"/>
      <c r="C7" s="2"/>
      <c r="D7" s="2"/>
      <c r="E7" s="2"/>
      <c r="F7" s="2"/>
      <c r="G7" s="2"/>
      <c r="H7" s="491"/>
      <c r="I7" s="2"/>
      <c r="J7" s="2"/>
      <c r="K7" s="2"/>
      <c r="L7" s="491"/>
      <c r="M7" s="2"/>
      <c r="N7" s="2"/>
      <c r="O7" s="2"/>
      <c r="P7" s="491"/>
      <c r="Q7" s="2"/>
      <c r="R7" s="491"/>
      <c r="S7" s="2"/>
      <c r="T7" s="491"/>
      <c r="U7" s="2"/>
      <c r="V7" s="491"/>
      <c r="W7" s="2"/>
      <c r="X7" s="491"/>
      <c r="Y7" s="2"/>
      <c r="Z7" s="491"/>
      <c r="AA7" s="2"/>
      <c r="AB7" s="2"/>
      <c r="AC7" s="3"/>
      <c r="AD7" s="3"/>
      <c r="AE7" s="3"/>
      <c r="AY7" s="3"/>
      <c r="AZ7" s="3"/>
    </row>
    <row r="8" spans="1:54" ht="12.75">
      <c r="A8" s="6"/>
      <c r="B8" s="7"/>
      <c r="C8" s="1437" t="s">
        <v>497</v>
      </c>
      <c r="D8" s="1438"/>
      <c r="E8" s="259"/>
      <c r="F8" s="18"/>
      <c r="G8" s="18"/>
      <c r="I8" s="19"/>
      <c r="J8" s="18"/>
      <c r="K8" s="18"/>
      <c r="M8" s="19"/>
      <c r="N8" s="18"/>
      <c r="O8" s="18"/>
      <c r="Q8" s="19"/>
      <c r="S8" s="18"/>
      <c r="U8" s="19"/>
      <c r="W8" s="18"/>
      <c r="Y8" s="19"/>
      <c r="Z8" s="18"/>
      <c r="AA8" s="18"/>
      <c r="AB8" s="18"/>
      <c r="AC8" s="19"/>
      <c r="AD8" s="18"/>
      <c r="AE8" s="18"/>
      <c r="AF8" s="18"/>
      <c r="AG8" s="18"/>
      <c r="AH8" s="22"/>
      <c r="AI8" s="19"/>
      <c r="AJ8" s="19"/>
      <c r="AK8" s="19"/>
      <c r="AL8" s="24"/>
      <c r="AM8" s="1437" t="s">
        <v>226</v>
      </c>
      <c r="AN8" s="1466"/>
      <c r="AO8" s="1466"/>
      <c r="AP8" s="1467"/>
      <c r="AQ8" s="15"/>
      <c r="AR8" s="88"/>
      <c r="AS8" s="88"/>
      <c r="AT8" s="88"/>
      <c r="AU8" s="88"/>
      <c r="AV8" s="88"/>
      <c r="AW8" s="17"/>
      <c r="AX8" s="22"/>
      <c r="AY8" s="88"/>
      <c r="AZ8" s="88"/>
      <c r="BA8" s="88"/>
      <c r="BB8" s="25"/>
    </row>
    <row r="9" spans="1:61" ht="12.75">
      <c r="A9" s="265" t="s">
        <v>1</v>
      </c>
      <c r="B9" s="7"/>
      <c r="C9" s="1462" t="s">
        <v>41</v>
      </c>
      <c r="D9" s="1440"/>
      <c r="E9" s="603"/>
      <c r="F9" s="21"/>
      <c r="G9" s="21" t="s">
        <v>430</v>
      </c>
      <c r="H9" s="21" t="s">
        <v>429</v>
      </c>
      <c r="I9" s="14" t="s">
        <v>427</v>
      </c>
      <c r="J9" s="21" t="s">
        <v>362</v>
      </c>
      <c r="K9" s="21" t="s">
        <v>363</v>
      </c>
      <c r="L9" s="21" t="s">
        <v>364</v>
      </c>
      <c r="M9" s="14" t="s">
        <v>365</v>
      </c>
      <c r="N9" s="21" t="s">
        <v>277</v>
      </c>
      <c r="O9" s="21" t="s">
        <v>278</v>
      </c>
      <c r="P9" s="21" t="s">
        <v>279</v>
      </c>
      <c r="Q9" s="14" t="s">
        <v>276</v>
      </c>
      <c r="R9" s="21" t="s">
        <v>222</v>
      </c>
      <c r="S9" s="21" t="s">
        <v>223</v>
      </c>
      <c r="T9" s="21" t="s">
        <v>224</v>
      </c>
      <c r="U9" s="14" t="s">
        <v>225</v>
      </c>
      <c r="V9" s="21" t="s">
        <v>141</v>
      </c>
      <c r="W9" s="21" t="s">
        <v>140</v>
      </c>
      <c r="X9" s="21" t="s">
        <v>139</v>
      </c>
      <c r="Y9" s="14" t="s">
        <v>138</v>
      </c>
      <c r="Z9" s="21" t="s">
        <v>91</v>
      </c>
      <c r="AA9" s="21" t="s">
        <v>92</v>
      </c>
      <c r="AB9" s="21" t="s">
        <v>93</v>
      </c>
      <c r="AC9" s="14" t="s">
        <v>32</v>
      </c>
      <c r="AD9" s="15" t="s">
        <v>33</v>
      </c>
      <c r="AE9" s="15" t="s">
        <v>34</v>
      </c>
      <c r="AF9" s="15" t="s">
        <v>35</v>
      </c>
      <c r="AG9" s="15" t="s">
        <v>36</v>
      </c>
      <c r="AH9" s="259" t="s">
        <v>37</v>
      </c>
      <c r="AI9" s="233" t="s">
        <v>38</v>
      </c>
      <c r="AJ9" s="233" t="s">
        <v>39</v>
      </c>
      <c r="AK9" s="233" t="s">
        <v>40</v>
      </c>
      <c r="AL9" s="259"/>
      <c r="AM9" s="20" t="s">
        <v>45</v>
      </c>
      <c r="AN9" s="21" t="s">
        <v>42</v>
      </c>
      <c r="AO9" s="1460" t="s">
        <v>41</v>
      </c>
      <c r="AP9" s="1440"/>
      <c r="AQ9" s="16"/>
      <c r="AR9" s="232" t="s">
        <v>367</v>
      </c>
      <c r="AS9" s="232" t="s">
        <v>285</v>
      </c>
      <c r="AT9" s="232" t="s">
        <v>143</v>
      </c>
      <c r="AU9" s="232" t="s">
        <v>142</v>
      </c>
      <c r="AV9" s="232" t="s">
        <v>45</v>
      </c>
      <c r="AW9" s="232" t="s">
        <v>42</v>
      </c>
      <c r="AX9" s="259" t="s">
        <v>43</v>
      </c>
      <c r="AY9" s="23" t="s">
        <v>165</v>
      </c>
      <c r="AZ9" s="23" t="s">
        <v>166</v>
      </c>
      <c r="BA9" s="23" t="s">
        <v>167</v>
      </c>
      <c r="BB9" s="25"/>
      <c r="BC9" s="3"/>
      <c r="BD9" s="3"/>
      <c r="BE9" s="3"/>
      <c r="BF9" s="3"/>
      <c r="BG9" s="3"/>
      <c r="BH9" s="3"/>
      <c r="BI9" s="3"/>
    </row>
    <row r="10" spans="1:59" ht="12.75" customHeight="1">
      <c r="A10" s="142"/>
      <c r="B10" s="8"/>
      <c r="C10" s="196"/>
      <c r="D10" s="165"/>
      <c r="E10" s="89"/>
      <c r="F10" s="148"/>
      <c r="G10" s="148"/>
      <c r="H10" s="148"/>
      <c r="I10" s="166"/>
      <c r="J10" s="148"/>
      <c r="K10" s="148"/>
      <c r="L10" s="148"/>
      <c r="M10" s="166"/>
      <c r="N10" s="148"/>
      <c r="O10" s="148"/>
      <c r="P10" s="148"/>
      <c r="Q10" s="166"/>
      <c r="R10" s="148"/>
      <c r="S10" s="148"/>
      <c r="T10" s="148"/>
      <c r="U10" s="166"/>
      <c r="V10" s="148"/>
      <c r="W10" s="148"/>
      <c r="X10" s="148"/>
      <c r="Y10" s="166"/>
      <c r="Z10" s="148"/>
      <c r="AA10" s="148"/>
      <c r="AB10" s="148"/>
      <c r="AC10" s="166"/>
      <c r="AD10" s="195"/>
      <c r="AE10" s="195"/>
      <c r="AF10" s="195"/>
      <c r="AG10" s="165"/>
      <c r="AH10" s="194"/>
      <c r="AI10" s="165"/>
      <c r="AJ10" s="165"/>
      <c r="AK10" s="165"/>
      <c r="AL10" s="89"/>
      <c r="AM10" s="164"/>
      <c r="AN10" s="148"/>
      <c r="AO10" s="148"/>
      <c r="AP10" s="166"/>
      <c r="AQ10" s="148"/>
      <c r="AR10" s="194"/>
      <c r="AS10" s="194"/>
      <c r="AT10" s="194"/>
      <c r="AU10" s="194"/>
      <c r="AV10" s="194"/>
      <c r="AW10" s="194"/>
      <c r="AX10" s="194"/>
      <c r="AY10" s="354"/>
      <c r="AZ10" s="354"/>
      <c r="BA10" s="354"/>
      <c r="BB10" s="25"/>
      <c r="BC10" s="3"/>
      <c r="BD10" s="3"/>
      <c r="BE10" s="3"/>
      <c r="BF10" s="3"/>
      <c r="BG10" s="3"/>
    </row>
    <row r="11" spans="1:59" ht="12.75" customHeight="1">
      <c r="A11" s="266" t="s">
        <v>121</v>
      </c>
      <c r="B11" s="266"/>
      <c r="C11" s="242"/>
      <c r="D11" s="30"/>
      <c r="E11" s="592"/>
      <c r="F11" s="41"/>
      <c r="G11" s="41"/>
      <c r="H11" s="41"/>
      <c r="I11" s="238"/>
      <c r="J11" s="41"/>
      <c r="K11" s="41"/>
      <c r="L11" s="41"/>
      <c r="M11" s="238"/>
      <c r="N11" s="41"/>
      <c r="O11" s="41"/>
      <c r="P11" s="41"/>
      <c r="Q11" s="238"/>
      <c r="R11" s="41"/>
      <c r="S11" s="41"/>
      <c r="T11" s="41"/>
      <c r="U11" s="238"/>
      <c r="V11" s="41"/>
      <c r="W11" s="41"/>
      <c r="X11" s="41"/>
      <c r="Y11" s="238"/>
      <c r="Z11" s="41"/>
      <c r="AA11" s="41"/>
      <c r="AB11" s="41"/>
      <c r="AC11" s="238"/>
      <c r="AD11" s="234"/>
      <c r="AE11" s="234"/>
      <c r="AF11" s="234"/>
      <c r="AG11" s="238"/>
      <c r="AH11" s="201"/>
      <c r="AI11" s="238"/>
      <c r="AJ11" s="238"/>
      <c r="AK11" s="238"/>
      <c r="AL11" s="203"/>
      <c r="AM11" s="244"/>
      <c r="AN11" s="243"/>
      <c r="AO11" s="254"/>
      <c r="AP11" s="30"/>
      <c r="AQ11" s="243"/>
      <c r="AR11" s="201"/>
      <c r="AS11" s="201"/>
      <c r="AT11" s="201"/>
      <c r="AU11" s="201"/>
      <c r="AV11" s="201"/>
      <c r="AW11" s="201"/>
      <c r="AX11" s="201"/>
      <c r="AY11" s="43"/>
      <c r="AZ11" s="43"/>
      <c r="BA11" s="43"/>
      <c r="BB11" s="3"/>
      <c r="BC11" s="3"/>
      <c r="BD11" s="3"/>
      <c r="BE11" s="3"/>
      <c r="BF11" s="3"/>
      <c r="BG11" s="3"/>
    </row>
    <row r="12" spans="1:59" ht="12.75" customHeight="1">
      <c r="A12" s="144"/>
      <c r="B12" s="144" t="s">
        <v>220</v>
      </c>
      <c r="C12" s="237">
        <v>-10</v>
      </c>
      <c r="D12" s="30">
        <v>-0.044642857142857144</v>
      </c>
      <c r="E12" s="592"/>
      <c r="F12" s="465"/>
      <c r="G12" s="465">
        <v>214</v>
      </c>
      <c r="H12" s="465">
        <v>215</v>
      </c>
      <c r="I12" s="238">
        <v>221</v>
      </c>
      <c r="J12" s="465">
        <v>222</v>
      </c>
      <c r="K12" s="465">
        <v>224</v>
      </c>
      <c r="L12" s="465">
        <v>225</v>
      </c>
      <c r="M12" s="238">
        <v>239</v>
      </c>
      <c r="N12" s="465">
        <v>247</v>
      </c>
      <c r="O12" s="465">
        <v>262</v>
      </c>
      <c r="P12" s="465">
        <v>266</v>
      </c>
      <c r="Q12" s="238">
        <v>265</v>
      </c>
      <c r="R12" s="465">
        <v>268</v>
      </c>
      <c r="S12" s="465">
        <v>276</v>
      </c>
      <c r="T12" s="465">
        <v>276</v>
      </c>
      <c r="U12" s="238">
        <v>273</v>
      </c>
      <c r="V12" s="465">
        <v>203</v>
      </c>
      <c r="W12" s="465">
        <v>204</v>
      </c>
      <c r="X12" s="465">
        <v>200</v>
      </c>
      <c r="Y12" s="238">
        <v>204</v>
      </c>
      <c r="Z12" s="465">
        <v>209</v>
      </c>
      <c r="AA12" s="465">
        <v>211</v>
      </c>
      <c r="AB12" s="465">
        <v>248</v>
      </c>
      <c r="AC12" s="238">
        <v>251</v>
      </c>
      <c r="AD12" s="380">
        <v>253</v>
      </c>
      <c r="AE12" s="380">
        <v>254</v>
      </c>
      <c r="AF12" s="380">
        <v>264</v>
      </c>
      <c r="AG12" s="424">
        <v>260</v>
      </c>
      <c r="AH12" s="179">
        <v>246</v>
      </c>
      <c r="AI12" s="424">
        <v>237</v>
      </c>
      <c r="AJ12" s="424">
        <v>241</v>
      </c>
      <c r="AK12" s="424">
        <v>239</v>
      </c>
      <c r="AL12" s="304"/>
      <c r="AM12" s="379">
        <v>209</v>
      </c>
      <c r="AN12" s="276">
        <v>253</v>
      </c>
      <c r="AO12" s="234">
        <v>-44</v>
      </c>
      <c r="AP12" s="30">
        <v>-0.17391304347826086</v>
      </c>
      <c r="AQ12" s="276"/>
      <c r="AR12" s="201">
        <v>222</v>
      </c>
      <c r="AS12" s="201">
        <v>247</v>
      </c>
      <c r="AT12" s="201">
        <v>268</v>
      </c>
      <c r="AU12" s="201">
        <v>203</v>
      </c>
      <c r="AV12" s="201">
        <v>209</v>
      </c>
      <c r="AW12" s="179">
        <v>253</v>
      </c>
      <c r="AX12" s="179">
        <v>246</v>
      </c>
      <c r="AY12" s="161">
        <v>233</v>
      </c>
      <c r="AZ12" s="161">
        <v>209</v>
      </c>
      <c r="BA12" s="161">
        <v>185</v>
      </c>
      <c r="BB12" s="83"/>
      <c r="BG12" s="3"/>
    </row>
    <row r="13" spans="1:59" ht="12.75" customHeight="1">
      <c r="A13" s="144"/>
      <c r="B13" s="144" t="s">
        <v>420</v>
      </c>
      <c r="C13" s="586">
        <v>-68</v>
      </c>
      <c r="D13" s="30">
        <v>-0.13793103448275862</v>
      </c>
      <c r="E13" s="592"/>
      <c r="F13" s="465"/>
      <c r="G13" s="465">
        <v>425</v>
      </c>
      <c r="H13" s="465">
        <v>430</v>
      </c>
      <c r="I13" s="238">
        <v>448</v>
      </c>
      <c r="J13" s="465">
        <v>461</v>
      </c>
      <c r="K13" s="465">
        <v>493</v>
      </c>
      <c r="L13" s="465">
        <v>617</v>
      </c>
      <c r="M13" s="238">
        <v>662</v>
      </c>
      <c r="N13" s="465">
        <v>684</v>
      </c>
      <c r="O13" s="465">
        <v>699</v>
      </c>
      <c r="P13" s="465">
        <v>686</v>
      </c>
      <c r="Q13" s="238">
        <v>666</v>
      </c>
      <c r="R13" s="465">
        <v>684</v>
      </c>
      <c r="S13" s="465">
        <v>671</v>
      </c>
      <c r="T13" s="465">
        <v>665</v>
      </c>
      <c r="U13" s="238">
        <v>689</v>
      </c>
      <c r="V13" s="465">
        <v>680</v>
      </c>
      <c r="W13" s="465">
        <v>707</v>
      </c>
      <c r="X13" s="465">
        <v>698</v>
      </c>
      <c r="Y13" s="238">
        <v>688</v>
      </c>
      <c r="Z13" s="465">
        <v>700</v>
      </c>
      <c r="AA13" s="465">
        <v>725</v>
      </c>
      <c r="AB13" s="465">
        <v>744</v>
      </c>
      <c r="AC13" s="238">
        <v>760</v>
      </c>
      <c r="AD13" s="380">
        <v>762</v>
      </c>
      <c r="AE13" s="380">
        <v>772</v>
      </c>
      <c r="AF13" s="380">
        <v>784</v>
      </c>
      <c r="AG13" s="424">
        <v>757</v>
      </c>
      <c r="AH13" s="179">
        <v>728</v>
      </c>
      <c r="AI13" s="424">
        <v>725</v>
      </c>
      <c r="AJ13" s="424">
        <v>719</v>
      </c>
      <c r="AK13" s="424">
        <v>710</v>
      </c>
      <c r="AL13" s="304"/>
      <c r="AM13" s="379">
        <v>700</v>
      </c>
      <c r="AN13" s="276">
        <v>762</v>
      </c>
      <c r="AO13" s="234">
        <v>-62</v>
      </c>
      <c r="AP13" s="30">
        <v>-0.08136482939632546</v>
      </c>
      <c r="AQ13" s="276"/>
      <c r="AR13" s="201">
        <v>461</v>
      </c>
      <c r="AS13" s="201">
        <v>684</v>
      </c>
      <c r="AT13" s="201">
        <v>684</v>
      </c>
      <c r="AU13" s="201">
        <v>680</v>
      </c>
      <c r="AV13" s="201">
        <v>700</v>
      </c>
      <c r="AW13" s="179">
        <v>762</v>
      </c>
      <c r="AX13" s="179">
        <v>728</v>
      </c>
      <c r="AY13" s="161">
        <v>689</v>
      </c>
      <c r="AZ13" s="161">
        <v>657</v>
      </c>
      <c r="BA13" s="161">
        <v>623</v>
      </c>
      <c r="BB13" s="83"/>
      <c r="BG13" s="3"/>
    </row>
    <row r="14" spans="1:59" ht="12.75" customHeight="1">
      <c r="A14" s="144"/>
      <c r="B14" s="144" t="s">
        <v>122</v>
      </c>
      <c r="C14" s="237">
        <v>-13</v>
      </c>
      <c r="D14" s="30">
        <v>-0.0391566265060241</v>
      </c>
      <c r="E14" s="592"/>
      <c r="F14" s="465"/>
      <c r="G14" s="465">
        <v>319</v>
      </c>
      <c r="H14" s="465">
        <v>320</v>
      </c>
      <c r="I14" s="238">
        <v>323</v>
      </c>
      <c r="J14" s="465">
        <v>332</v>
      </c>
      <c r="K14" s="465">
        <v>332</v>
      </c>
      <c r="L14" s="465">
        <v>343</v>
      </c>
      <c r="M14" s="238">
        <v>376</v>
      </c>
      <c r="N14" s="465">
        <v>378</v>
      </c>
      <c r="O14" s="465">
        <v>386</v>
      </c>
      <c r="P14" s="465">
        <v>384</v>
      </c>
      <c r="Q14" s="238">
        <v>382</v>
      </c>
      <c r="R14" s="465">
        <v>373</v>
      </c>
      <c r="S14" s="465">
        <v>365</v>
      </c>
      <c r="T14" s="465">
        <v>369</v>
      </c>
      <c r="U14" s="238">
        <v>371</v>
      </c>
      <c r="V14" s="465">
        <v>364</v>
      </c>
      <c r="W14" s="465">
        <v>360</v>
      </c>
      <c r="X14" s="465">
        <v>359</v>
      </c>
      <c r="Y14" s="238">
        <v>352</v>
      </c>
      <c r="Z14" s="465">
        <v>356</v>
      </c>
      <c r="AA14" s="465">
        <v>365</v>
      </c>
      <c r="AB14" s="465">
        <v>393</v>
      </c>
      <c r="AC14" s="238">
        <v>393</v>
      </c>
      <c r="AD14" s="380">
        <v>380</v>
      </c>
      <c r="AE14" s="380">
        <v>373</v>
      </c>
      <c r="AF14" s="380">
        <v>370</v>
      </c>
      <c r="AG14" s="424">
        <v>366</v>
      </c>
      <c r="AH14" s="179">
        <v>360</v>
      </c>
      <c r="AI14" s="424">
        <v>348</v>
      </c>
      <c r="AJ14" s="424">
        <v>349</v>
      </c>
      <c r="AK14" s="424">
        <v>343</v>
      </c>
      <c r="AL14" s="304"/>
      <c r="AM14" s="379">
        <v>356</v>
      </c>
      <c r="AN14" s="276">
        <v>380</v>
      </c>
      <c r="AO14" s="234">
        <v>-24</v>
      </c>
      <c r="AP14" s="30">
        <v>-0.06315789473684211</v>
      </c>
      <c r="AQ14" s="276"/>
      <c r="AR14" s="201">
        <v>332</v>
      </c>
      <c r="AS14" s="201">
        <v>378</v>
      </c>
      <c r="AT14" s="201">
        <v>373</v>
      </c>
      <c r="AU14" s="201">
        <v>364</v>
      </c>
      <c r="AV14" s="201">
        <v>356</v>
      </c>
      <c r="AW14" s="179">
        <v>380</v>
      </c>
      <c r="AX14" s="179">
        <v>360</v>
      </c>
      <c r="AY14" s="161">
        <v>335</v>
      </c>
      <c r="AZ14" s="161">
        <v>324</v>
      </c>
      <c r="BA14" s="161">
        <v>296</v>
      </c>
      <c r="BB14" s="83"/>
      <c r="BG14" s="3"/>
    </row>
    <row r="15" spans="1:59" ht="12.75" customHeight="1">
      <c r="A15" s="144"/>
      <c r="B15" s="144" t="s">
        <v>99</v>
      </c>
      <c r="C15" s="237">
        <v>-91</v>
      </c>
      <c r="D15" s="30">
        <v>-0.08674928503336511</v>
      </c>
      <c r="E15" s="592"/>
      <c r="F15" s="465"/>
      <c r="G15" s="465">
        <v>958</v>
      </c>
      <c r="H15" s="465">
        <v>965</v>
      </c>
      <c r="I15" s="238">
        <v>992</v>
      </c>
      <c r="J15" s="465">
        <v>1015</v>
      </c>
      <c r="K15" s="465">
        <v>1049</v>
      </c>
      <c r="L15" s="465">
        <v>1185</v>
      </c>
      <c r="M15" s="238">
        <v>1277</v>
      </c>
      <c r="N15" s="465">
        <v>1309</v>
      </c>
      <c r="O15" s="465">
        <v>1347</v>
      </c>
      <c r="P15" s="465">
        <v>1336</v>
      </c>
      <c r="Q15" s="238">
        <v>1313</v>
      </c>
      <c r="R15" s="465">
        <v>1325</v>
      </c>
      <c r="S15" s="465">
        <v>1312</v>
      </c>
      <c r="T15" s="465">
        <v>1310</v>
      </c>
      <c r="U15" s="238">
        <v>1333</v>
      </c>
      <c r="V15" s="465">
        <v>1247</v>
      </c>
      <c r="W15" s="465">
        <v>1271</v>
      </c>
      <c r="X15" s="465">
        <v>1257</v>
      </c>
      <c r="Y15" s="238">
        <v>1244</v>
      </c>
      <c r="Z15" s="465">
        <v>1265</v>
      </c>
      <c r="AA15" s="465">
        <v>1301</v>
      </c>
      <c r="AB15" s="465">
        <v>1385</v>
      </c>
      <c r="AC15" s="238">
        <v>1404</v>
      </c>
      <c r="AD15" s="380">
        <v>1395</v>
      </c>
      <c r="AE15" s="380">
        <v>1399</v>
      </c>
      <c r="AF15" s="380">
        <v>1418</v>
      </c>
      <c r="AG15" s="424">
        <v>1383</v>
      </c>
      <c r="AH15" s="179">
        <v>1334</v>
      </c>
      <c r="AI15" s="424">
        <v>1310</v>
      </c>
      <c r="AJ15" s="424">
        <v>1309</v>
      </c>
      <c r="AK15" s="424">
        <v>1292</v>
      </c>
      <c r="AL15" s="304"/>
      <c r="AM15" s="379">
        <v>1265</v>
      </c>
      <c r="AN15" s="276">
        <v>1395</v>
      </c>
      <c r="AO15" s="234">
        <v>-130</v>
      </c>
      <c r="AP15" s="30">
        <v>-0.0931899641577061</v>
      </c>
      <c r="AQ15" s="276"/>
      <c r="AR15" s="201">
        <v>1015</v>
      </c>
      <c r="AS15" s="201">
        <v>1309</v>
      </c>
      <c r="AT15" s="201">
        <v>1325</v>
      </c>
      <c r="AU15" s="201">
        <v>1247</v>
      </c>
      <c r="AV15" s="201">
        <v>1265</v>
      </c>
      <c r="AW15" s="179">
        <v>1395</v>
      </c>
      <c r="AX15" s="179">
        <v>1334</v>
      </c>
      <c r="AY15" s="161">
        <v>1257</v>
      </c>
      <c r="AZ15" s="161">
        <v>1190</v>
      </c>
      <c r="BA15" s="161">
        <v>1104</v>
      </c>
      <c r="BB15" s="83"/>
      <c r="BG15" s="3"/>
    </row>
    <row r="16" spans="1:59" ht="12.75" customHeight="1">
      <c r="A16" s="144"/>
      <c r="B16" s="144"/>
      <c r="C16" s="237"/>
      <c r="D16" s="30"/>
      <c r="E16" s="592"/>
      <c r="F16" s="465"/>
      <c r="G16" s="465"/>
      <c r="H16" s="465"/>
      <c r="I16" s="238"/>
      <c r="J16" s="465"/>
      <c r="K16" s="465"/>
      <c r="L16" s="465"/>
      <c r="M16" s="238"/>
      <c r="N16" s="465"/>
      <c r="O16" s="465"/>
      <c r="P16" s="465"/>
      <c r="Q16" s="238"/>
      <c r="R16" s="465"/>
      <c r="S16" s="465"/>
      <c r="T16" s="465"/>
      <c r="U16" s="238"/>
      <c r="V16" s="465"/>
      <c r="W16" s="465"/>
      <c r="X16" s="465"/>
      <c r="Y16" s="238"/>
      <c r="Z16" s="465"/>
      <c r="AA16" s="465"/>
      <c r="AB16" s="465"/>
      <c r="AC16" s="238"/>
      <c r="AD16" s="380"/>
      <c r="AE16" s="380"/>
      <c r="AF16" s="380"/>
      <c r="AG16" s="424"/>
      <c r="AH16" s="179"/>
      <c r="AI16" s="424"/>
      <c r="AJ16" s="424"/>
      <c r="AK16" s="424"/>
      <c r="AL16" s="304"/>
      <c r="AM16" s="379"/>
      <c r="AN16" s="276"/>
      <c r="AO16" s="234"/>
      <c r="AP16" s="30"/>
      <c r="AQ16" s="276"/>
      <c r="AR16" s="201"/>
      <c r="AS16" s="201"/>
      <c r="AT16" s="201"/>
      <c r="AU16" s="201"/>
      <c r="AV16" s="201"/>
      <c r="AW16" s="179"/>
      <c r="AX16" s="179"/>
      <c r="AY16" s="161"/>
      <c r="AZ16" s="161"/>
      <c r="BA16" s="161"/>
      <c r="BB16" s="83"/>
      <c r="BG16" s="3"/>
    </row>
    <row r="17" spans="1:59" ht="12.75" customHeight="1">
      <c r="A17" s="266" t="s">
        <v>328</v>
      </c>
      <c r="B17" s="266"/>
      <c r="C17" s="237"/>
      <c r="D17" s="30"/>
      <c r="E17" s="592"/>
      <c r="F17" s="465"/>
      <c r="G17" s="465"/>
      <c r="H17" s="465"/>
      <c r="I17" s="238"/>
      <c r="J17" s="465"/>
      <c r="K17" s="465"/>
      <c r="L17" s="465"/>
      <c r="M17" s="238"/>
      <c r="N17" s="839"/>
      <c r="O17" s="839"/>
      <c r="P17" s="839"/>
      <c r="Q17" s="353"/>
      <c r="R17" s="839"/>
      <c r="S17" s="839"/>
      <c r="T17" s="839"/>
      <c r="U17" s="353"/>
      <c r="V17" s="839"/>
      <c r="W17" s="839"/>
      <c r="X17" s="839"/>
      <c r="Y17" s="353"/>
      <c r="Z17" s="839"/>
      <c r="AA17" s="839"/>
      <c r="AB17" s="839"/>
      <c r="AC17" s="353"/>
      <c r="AD17" s="213"/>
      <c r="AE17" s="213"/>
      <c r="AF17" s="213"/>
      <c r="AG17" s="168"/>
      <c r="AH17" s="177"/>
      <c r="AI17" s="168"/>
      <c r="AJ17" s="168"/>
      <c r="AK17" s="168"/>
      <c r="AL17" s="204"/>
      <c r="AM17" s="215"/>
      <c r="AN17" s="214"/>
      <c r="AO17" s="254"/>
      <c r="AP17" s="922"/>
      <c r="AQ17" s="214"/>
      <c r="AR17" s="302"/>
      <c r="AS17" s="302"/>
      <c r="AT17" s="302"/>
      <c r="AU17" s="302"/>
      <c r="AV17" s="302"/>
      <c r="AW17" s="179"/>
      <c r="AX17" s="179"/>
      <c r="AY17" s="161"/>
      <c r="AZ17" s="161"/>
      <c r="BA17" s="161"/>
      <c r="BB17" s="83"/>
      <c r="BG17" s="3"/>
    </row>
    <row r="18" spans="1:59" ht="12.75" customHeight="1">
      <c r="A18" s="144"/>
      <c r="B18" s="144" t="s">
        <v>220</v>
      </c>
      <c r="C18" s="237">
        <v>-63</v>
      </c>
      <c r="D18" s="30">
        <v>-0.14858490566037735</v>
      </c>
      <c r="E18" s="592"/>
      <c r="F18" s="465"/>
      <c r="G18" s="465">
        <v>361</v>
      </c>
      <c r="H18" s="465">
        <v>385</v>
      </c>
      <c r="I18" s="238">
        <v>388</v>
      </c>
      <c r="J18" s="465">
        <v>400</v>
      </c>
      <c r="K18" s="465">
        <v>424</v>
      </c>
      <c r="L18" s="465">
        <v>420</v>
      </c>
      <c r="M18" s="238">
        <v>427</v>
      </c>
      <c r="N18" s="839">
        <v>461</v>
      </c>
      <c r="O18" s="839">
        <v>143</v>
      </c>
      <c r="P18" s="839">
        <v>152</v>
      </c>
      <c r="Q18" s="353">
        <v>155</v>
      </c>
      <c r="R18" s="839">
        <v>143</v>
      </c>
      <c r="S18" s="839">
        <v>140</v>
      </c>
      <c r="T18" s="839">
        <v>142</v>
      </c>
      <c r="U18" s="353">
        <v>137</v>
      </c>
      <c r="V18" s="839">
        <v>138</v>
      </c>
      <c r="W18" s="839">
        <v>136</v>
      </c>
      <c r="X18" s="839">
        <v>124</v>
      </c>
      <c r="Y18" s="353">
        <v>111</v>
      </c>
      <c r="Z18" s="839">
        <v>114</v>
      </c>
      <c r="AA18" s="839">
        <v>117</v>
      </c>
      <c r="AB18" s="839">
        <v>127</v>
      </c>
      <c r="AC18" s="353">
        <v>125</v>
      </c>
      <c r="AD18" s="213">
        <v>125</v>
      </c>
      <c r="AE18" s="213">
        <v>116</v>
      </c>
      <c r="AF18" s="213">
        <v>109</v>
      </c>
      <c r="AG18" s="168">
        <v>104</v>
      </c>
      <c r="AH18" s="177">
        <v>93</v>
      </c>
      <c r="AI18" s="168">
        <v>95</v>
      </c>
      <c r="AJ18" s="168">
        <v>89</v>
      </c>
      <c r="AK18" s="168">
        <v>88</v>
      </c>
      <c r="AL18" s="204"/>
      <c r="AM18" s="215">
        <v>105</v>
      </c>
      <c r="AN18" s="214">
        <v>112</v>
      </c>
      <c r="AO18" s="254">
        <v>-7</v>
      </c>
      <c r="AP18" s="922">
        <v>-0.0625</v>
      </c>
      <c r="AQ18" s="214"/>
      <c r="AR18" s="302">
        <v>400</v>
      </c>
      <c r="AS18" s="302">
        <v>461</v>
      </c>
      <c r="AT18" s="302">
        <v>143</v>
      </c>
      <c r="AU18" s="302">
        <v>138</v>
      </c>
      <c r="AV18" s="302">
        <v>105</v>
      </c>
      <c r="AW18" s="179">
        <v>112</v>
      </c>
      <c r="AX18" s="179">
        <v>81</v>
      </c>
      <c r="AY18" s="161">
        <v>81</v>
      </c>
      <c r="AZ18" s="161">
        <v>70</v>
      </c>
      <c r="BA18" s="161">
        <v>52</v>
      </c>
      <c r="BB18" s="83"/>
      <c r="BG18" s="3"/>
    </row>
    <row r="19" spans="1:59" ht="12.75" customHeight="1">
      <c r="A19" s="144"/>
      <c r="B19" s="144" t="s">
        <v>420</v>
      </c>
      <c r="C19" s="237">
        <v>-4</v>
      </c>
      <c r="D19" s="30">
        <v>-0.013422818791946308</v>
      </c>
      <c r="E19" s="592"/>
      <c r="F19" s="465"/>
      <c r="G19" s="621">
        <v>294</v>
      </c>
      <c r="H19" s="621">
        <v>287</v>
      </c>
      <c r="I19" s="618">
        <v>289</v>
      </c>
      <c r="J19" s="465">
        <v>294</v>
      </c>
      <c r="K19" s="621">
        <v>298</v>
      </c>
      <c r="L19" s="621">
        <v>262</v>
      </c>
      <c r="M19" s="618">
        <v>267</v>
      </c>
      <c r="N19" s="839">
        <v>276</v>
      </c>
      <c r="O19" s="254">
        <v>0</v>
      </c>
      <c r="P19" s="254">
        <v>0</v>
      </c>
      <c r="Q19" s="353">
        <v>0</v>
      </c>
      <c r="R19" s="254">
        <v>0</v>
      </c>
      <c r="S19" s="254">
        <v>0</v>
      </c>
      <c r="T19" s="254">
        <v>0</v>
      </c>
      <c r="U19" s="353">
        <v>0</v>
      </c>
      <c r="V19" s="254">
        <v>0</v>
      </c>
      <c r="W19" s="254">
        <v>0</v>
      </c>
      <c r="X19" s="839"/>
      <c r="Y19" s="353"/>
      <c r="Z19" s="839"/>
      <c r="AA19" s="839"/>
      <c r="AB19" s="839"/>
      <c r="AC19" s="353"/>
      <c r="AD19" s="213"/>
      <c r="AE19" s="213"/>
      <c r="AF19" s="213"/>
      <c r="AG19" s="168"/>
      <c r="AH19" s="177"/>
      <c r="AI19" s="168"/>
      <c r="AJ19" s="168"/>
      <c r="AK19" s="168"/>
      <c r="AL19" s="204"/>
      <c r="AM19" s="215"/>
      <c r="AN19" s="214"/>
      <c r="AO19" s="254"/>
      <c r="AP19" s="922"/>
      <c r="AQ19" s="214"/>
      <c r="AR19" s="302">
        <v>294</v>
      </c>
      <c r="AS19" s="302">
        <v>276</v>
      </c>
      <c r="AT19" s="302">
        <v>0</v>
      </c>
      <c r="AU19" s="302">
        <v>0</v>
      </c>
      <c r="AV19" s="302">
        <v>0</v>
      </c>
      <c r="AW19" s="662">
        <v>0</v>
      </c>
      <c r="AX19" s="179"/>
      <c r="AY19" s="161"/>
      <c r="AZ19" s="161"/>
      <c r="BA19" s="161"/>
      <c r="BB19" s="83"/>
      <c r="BG19" s="3"/>
    </row>
    <row r="20" spans="1:59" ht="12.75" customHeight="1">
      <c r="A20" s="144"/>
      <c r="B20" s="144"/>
      <c r="C20" s="237"/>
      <c r="D20" s="30"/>
      <c r="E20" s="592"/>
      <c r="F20" s="465"/>
      <c r="G20" s="465"/>
      <c r="H20" s="465"/>
      <c r="I20" s="238"/>
      <c r="J20" s="465"/>
      <c r="K20" s="465"/>
      <c r="L20" s="465"/>
      <c r="M20" s="238"/>
      <c r="N20" s="839"/>
      <c r="O20" s="839"/>
      <c r="P20" s="839"/>
      <c r="Q20" s="353"/>
      <c r="R20" s="839"/>
      <c r="S20" s="839"/>
      <c r="T20" s="839"/>
      <c r="U20" s="353"/>
      <c r="V20" s="839"/>
      <c r="W20" s="839"/>
      <c r="X20" s="839"/>
      <c r="Y20" s="353"/>
      <c r="Z20" s="839"/>
      <c r="AA20" s="839"/>
      <c r="AB20" s="839"/>
      <c r="AC20" s="353"/>
      <c r="AD20" s="213"/>
      <c r="AE20" s="213"/>
      <c r="AF20" s="213"/>
      <c r="AG20" s="168"/>
      <c r="AH20" s="177"/>
      <c r="AI20" s="168"/>
      <c r="AJ20" s="168"/>
      <c r="AK20" s="168"/>
      <c r="AL20" s="204"/>
      <c r="AM20" s="215"/>
      <c r="AN20" s="214"/>
      <c r="AO20" s="254"/>
      <c r="AP20" s="922"/>
      <c r="AQ20" s="214"/>
      <c r="AR20" s="302"/>
      <c r="AS20" s="302"/>
      <c r="AT20" s="302"/>
      <c r="AU20" s="302"/>
      <c r="AV20" s="302"/>
      <c r="AW20" s="179"/>
      <c r="AX20" s="179"/>
      <c r="AY20" s="161"/>
      <c r="AZ20" s="161"/>
      <c r="BA20" s="161"/>
      <c r="BB20" s="83"/>
      <c r="BG20" s="3"/>
    </row>
    <row r="21" spans="1:59" ht="12.75" customHeight="1">
      <c r="A21" s="266" t="s">
        <v>123</v>
      </c>
      <c r="B21" s="266"/>
      <c r="C21" s="237"/>
      <c r="D21" s="30"/>
      <c r="E21" s="592"/>
      <c r="F21" s="465"/>
      <c r="G21" s="465"/>
      <c r="H21" s="465"/>
      <c r="I21" s="238"/>
      <c r="J21" s="465"/>
      <c r="K21" s="465"/>
      <c r="L21" s="465"/>
      <c r="M21" s="238"/>
      <c r="N21" s="839"/>
      <c r="O21" s="839"/>
      <c r="P21" s="839"/>
      <c r="Q21" s="353"/>
      <c r="R21" s="839"/>
      <c r="S21" s="839"/>
      <c r="T21" s="839"/>
      <c r="U21" s="353"/>
      <c r="V21" s="839"/>
      <c r="W21" s="839"/>
      <c r="X21" s="839"/>
      <c r="Y21" s="353"/>
      <c r="Z21" s="839"/>
      <c r="AA21" s="839"/>
      <c r="AB21" s="839"/>
      <c r="AC21" s="353"/>
      <c r="AD21" s="213"/>
      <c r="AE21" s="213"/>
      <c r="AF21" s="213"/>
      <c r="AG21" s="168"/>
      <c r="AH21" s="177"/>
      <c r="AI21" s="168"/>
      <c r="AJ21" s="168"/>
      <c r="AK21" s="168"/>
      <c r="AL21" s="204"/>
      <c r="AM21" s="215"/>
      <c r="AN21" s="214"/>
      <c r="AO21" s="254"/>
      <c r="AP21" s="922"/>
      <c r="AQ21" s="214"/>
      <c r="AR21" s="302"/>
      <c r="AS21" s="302"/>
      <c r="AT21" s="302"/>
      <c r="AU21" s="302"/>
      <c r="AV21" s="302"/>
      <c r="AW21" s="179"/>
      <c r="AX21" s="179"/>
      <c r="AY21" s="161"/>
      <c r="AZ21" s="161"/>
      <c r="BA21" s="161"/>
      <c r="BB21" s="83"/>
      <c r="BG21" s="3"/>
    </row>
    <row r="22" spans="1:59" ht="12.75" customHeight="1">
      <c r="A22" s="144"/>
      <c r="B22" s="144" t="s">
        <v>220</v>
      </c>
      <c r="C22" s="237">
        <v>20</v>
      </c>
      <c r="D22" s="30">
        <v>0.07722007722007722</v>
      </c>
      <c r="E22" s="592"/>
      <c r="F22" s="465"/>
      <c r="G22" s="465">
        <v>279</v>
      </c>
      <c r="H22" s="465">
        <v>275</v>
      </c>
      <c r="I22" s="238">
        <v>264</v>
      </c>
      <c r="J22" s="465">
        <v>253</v>
      </c>
      <c r="K22" s="465">
        <v>259</v>
      </c>
      <c r="L22" s="465">
        <v>252</v>
      </c>
      <c r="M22" s="238">
        <v>304</v>
      </c>
      <c r="N22" s="839">
        <v>302</v>
      </c>
      <c r="O22" s="839">
        <v>176</v>
      </c>
      <c r="P22" s="839">
        <v>186</v>
      </c>
      <c r="Q22" s="353">
        <v>180</v>
      </c>
      <c r="R22" s="839">
        <v>175</v>
      </c>
      <c r="S22" s="839">
        <v>175</v>
      </c>
      <c r="T22" s="839">
        <v>178</v>
      </c>
      <c r="U22" s="353">
        <v>169</v>
      </c>
      <c r="V22" s="839">
        <v>163</v>
      </c>
      <c r="W22" s="839">
        <v>162</v>
      </c>
      <c r="X22" s="839">
        <v>157</v>
      </c>
      <c r="Y22" s="353">
        <v>152</v>
      </c>
      <c r="Z22" s="923">
        <v>151</v>
      </c>
      <c r="AA22" s="839">
        <v>152</v>
      </c>
      <c r="AB22" s="839">
        <v>176</v>
      </c>
      <c r="AC22" s="353">
        <v>169</v>
      </c>
      <c r="AD22" s="213">
        <v>163</v>
      </c>
      <c r="AE22" s="213">
        <v>161</v>
      </c>
      <c r="AF22" s="213">
        <v>162</v>
      </c>
      <c r="AG22" s="168">
        <v>170</v>
      </c>
      <c r="AH22" s="177">
        <v>163</v>
      </c>
      <c r="AI22" s="168">
        <v>170</v>
      </c>
      <c r="AJ22" s="168">
        <v>164</v>
      </c>
      <c r="AK22" s="168">
        <v>154</v>
      </c>
      <c r="AL22" s="204"/>
      <c r="AM22" s="215">
        <v>151</v>
      </c>
      <c r="AN22" s="214">
        <v>163</v>
      </c>
      <c r="AO22" s="254">
        <v>-12</v>
      </c>
      <c r="AP22" s="922">
        <v>-0.0736196319018405</v>
      </c>
      <c r="AQ22" s="214"/>
      <c r="AR22" s="302">
        <v>253</v>
      </c>
      <c r="AS22" s="302">
        <v>302</v>
      </c>
      <c r="AT22" s="302">
        <v>175</v>
      </c>
      <c r="AU22" s="302">
        <v>163</v>
      </c>
      <c r="AV22" s="302">
        <v>151</v>
      </c>
      <c r="AW22" s="179">
        <v>163</v>
      </c>
      <c r="AX22" s="179">
        <v>163</v>
      </c>
      <c r="AY22" s="161">
        <v>150</v>
      </c>
      <c r="AZ22" s="161">
        <v>0</v>
      </c>
      <c r="BA22" s="161">
        <v>0</v>
      </c>
      <c r="BB22" s="83"/>
      <c r="BG22" s="3"/>
    </row>
    <row r="23" spans="1:59" ht="12.75" customHeight="1">
      <c r="A23" s="144"/>
      <c r="B23" s="144"/>
      <c r="C23" s="237"/>
      <c r="D23" s="30"/>
      <c r="E23" s="592"/>
      <c r="F23" s="465"/>
      <c r="G23" s="465"/>
      <c r="H23" s="465"/>
      <c r="I23" s="238"/>
      <c r="J23" s="465"/>
      <c r="K23" s="465"/>
      <c r="L23" s="465"/>
      <c r="M23" s="238"/>
      <c r="N23" s="839"/>
      <c r="O23" s="839"/>
      <c r="P23" s="839"/>
      <c r="Q23" s="353"/>
      <c r="R23" s="839"/>
      <c r="S23" s="839"/>
      <c r="T23" s="839"/>
      <c r="U23" s="353"/>
      <c r="V23" s="839"/>
      <c r="W23" s="839"/>
      <c r="X23" s="839"/>
      <c r="Y23" s="353"/>
      <c r="Z23" s="923"/>
      <c r="AA23" s="839"/>
      <c r="AB23" s="839"/>
      <c r="AC23" s="353"/>
      <c r="AD23" s="213"/>
      <c r="AE23" s="213"/>
      <c r="AF23" s="213"/>
      <c r="AG23" s="168"/>
      <c r="AH23" s="177"/>
      <c r="AI23" s="168"/>
      <c r="AJ23" s="168"/>
      <c r="AK23" s="168"/>
      <c r="AL23" s="204"/>
      <c r="AM23" s="215"/>
      <c r="AN23" s="214"/>
      <c r="AO23" s="254"/>
      <c r="AP23" s="922"/>
      <c r="AQ23" s="214"/>
      <c r="AR23" s="302"/>
      <c r="AS23" s="302"/>
      <c r="AT23" s="302"/>
      <c r="AU23" s="302"/>
      <c r="AV23" s="302"/>
      <c r="AW23" s="179"/>
      <c r="AX23" s="179"/>
      <c r="AY23" s="161"/>
      <c r="AZ23" s="161"/>
      <c r="BA23" s="161"/>
      <c r="BB23" s="83"/>
      <c r="BG23" s="3"/>
    </row>
    <row r="24" spans="1:59" ht="12.75" customHeight="1">
      <c r="A24" s="266" t="s">
        <v>309</v>
      </c>
      <c r="B24" s="266"/>
      <c r="C24" s="237"/>
      <c r="D24" s="30"/>
      <c r="E24" s="592"/>
      <c r="F24" s="465"/>
      <c r="G24" s="465"/>
      <c r="H24" s="465"/>
      <c r="I24" s="238"/>
      <c r="J24" s="465"/>
      <c r="K24" s="465"/>
      <c r="L24" s="465"/>
      <c r="M24" s="238"/>
      <c r="N24" s="839"/>
      <c r="O24" s="839"/>
      <c r="P24" s="839"/>
      <c r="Q24" s="353"/>
      <c r="R24" s="839"/>
      <c r="S24" s="839"/>
      <c r="T24" s="839"/>
      <c r="U24" s="353"/>
      <c r="V24" s="839"/>
      <c r="W24" s="839"/>
      <c r="X24" s="839"/>
      <c r="Y24" s="353"/>
      <c r="Z24" s="923"/>
      <c r="AA24" s="839"/>
      <c r="AB24" s="839"/>
      <c r="AC24" s="353"/>
      <c r="AD24" s="213"/>
      <c r="AE24" s="213"/>
      <c r="AF24" s="213"/>
      <c r="AG24" s="168"/>
      <c r="AH24" s="177"/>
      <c r="AI24" s="168"/>
      <c r="AJ24" s="168"/>
      <c r="AK24" s="168"/>
      <c r="AL24" s="204"/>
      <c r="AM24" s="215"/>
      <c r="AN24" s="214"/>
      <c r="AO24" s="254"/>
      <c r="AP24" s="922"/>
      <c r="AQ24" s="214"/>
      <c r="AR24" s="302"/>
      <c r="AS24" s="302"/>
      <c r="AT24" s="302"/>
      <c r="AU24" s="302"/>
      <c r="AV24" s="302"/>
      <c r="AW24" s="179"/>
      <c r="AX24" s="179"/>
      <c r="AY24" s="161"/>
      <c r="AZ24" s="161"/>
      <c r="BA24" s="161"/>
      <c r="BB24" s="83"/>
      <c r="BG24" s="3"/>
    </row>
    <row r="25" spans="1:59" ht="12.75" customHeight="1">
      <c r="A25" s="144"/>
      <c r="B25" s="144" t="s">
        <v>310</v>
      </c>
      <c r="C25" s="237">
        <v>5</v>
      </c>
      <c r="D25" s="30">
        <v>0.058823529411764705</v>
      </c>
      <c r="E25" s="592"/>
      <c r="F25" s="465"/>
      <c r="G25" s="465">
        <v>90</v>
      </c>
      <c r="H25" s="465">
        <v>90</v>
      </c>
      <c r="I25" s="298">
        <v>88</v>
      </c>
      <c r="J25" s="465">
        <v>84</v>
      </c>
      <c r="K25" s="465">
        <v>85</v>
      </c>
      <c r="L25" s="465">
        <v>81</v>
      </c>
      <c r="M25" s="298">
        <v>82</v>
      </c>
      <c r="N25" s="839">
        <v>80</v>
      </c>
      <c r="O25" s="839">
        <v>69</v>
      </c>
      <c r="P25" s="839">
        <v>36</v>
      </c>
      <c r="Q25" s="922">
        <v>36</v>
      </c>
      <c r="R25" s="839">
        <v>41</v>
      </c>
      <c r="S25" s="839">
        <v>1</v>
      </c>
      <c r="T25" s="839">
        <v>1</v>
      </c>
      <c r="U25" s="922">
        <v>1</v>
      </c>
      <c r="V25" s="924">
        <v>1</v>
      </c>
      <c r="W25" s="839">
        <v>1</v>
      </c>
      <c r="X25" s="839">
        <v>1</v>
      </c>
      <c r="Y25" s="922">
        <v>7</v>
      </c>
      <c r="Z25" s="923" t="s">
        <v>214</v>
      </c>
      <c r="AA25" s="839"/>
      <c r="AB25" s="839"/>
      <c r="AC25" s="353"/>
      <c r="AD25" s="213"/>
      <c r="AE25" s="213"/>
      <c r="AF25" s="213"/>
      <c r="AG25" s="168"/>
      <c r="AH25" s="177"/>
      <c r="AI25" s="168"/>
      <c r="AJ25" s="168"/>
      <c r="AK25" s="168"/>
      <c r="AL25" s="204"/>
      <c r="AM25" s="215"/>
      <c r="AN25" s="214"/>
      <c r="AO25" s="254"/>
      <c r="AP25" s="922"/>
      <c r="AQ25" s="214"/>
      <c r="AR25" s="302">
        <v>84</v>
      </c>
      <c r="AS25" s="302">
        <v>80</v>
      </c>
      <c r="AT25" s="302">
        <v>41</v>
      </c>
      <c r="AU25" s="302">
        <v>1</v>
      </c>
      <c r="AV25" s="302">
        <v>9</v>
      </c>
      <c r="AW25" s="201">
        <v>13</v>
      </c>
      <c r="AX25" s="201">
        <v>12</v>
      </c>
      <c r="AY25" s="161">
        <v>150</v>
      </c>
      <c r="AZ25" s="161">
        <v>0</v>
      </c>
      <c r="BA25" s="161">
        <v>0</v>
      </c>
      <c r="BB25" s="83"/>
      <c r="BG25" s="3"/>
    </row>
    <row r="26" spans="1:59" ht="12.75" customHeight="1">
      <c r="A26" s="144"/>
      <c r="B26" s="144" t="s">
        <v>420</v>
      </c>
      <c r="C26" s="237">
        <v>-2</v>
      </c>
      <c r="D26" s="30">
        <v>-0.14285714285714285</v>
      </c>
      <c r="E26" s="592"/>
      <c r="F26" s="465"/>
      <c r="G26" s="465">
        <v>12</v>
      </c>
      <c r="H26" s="465">
        <v>10</v>
      </c>
      <c r="I26" s="298">
        <v>10</v>
      </c>
      <c r="J26" s="465">
        <v>14</v>
      </c>
      <c r="K26" s="465">
        <v>14</v>
      </c>
      <c r="L26" s="465">
        <v>15</v>
      </c>
      <c r="M26" s="298">
        <v>11</v>
      </c>
      <c r="N26" s="254">
        <v>0</v>
      </c>
      <c r="O26" s="254">
        <v>0</v>
      </c>
      <c r="P26" s="254">
        <v>0</v>
      </c>
      <c r="Q26" s="353">
        <v>0</v>
      </c>
      <c r="R26" s="254">
        <v>0</v>
      </c>
      <c r="S26" s="254">
        <v>0</v>
      </c>
      <c r="T26" s="254">
        <v>0</v>
      </c>
      <c r="U26" s="353">
        <v>0</v>
      </c>
      <c r="V26" s="924"/>
      <c r="W26" s="839"/>
      <c r="X26" s="839"/>
      <c r="Y26" s="922"/>
      <c r="Z26" s="923"/>
      <c r="AA26" s="839"/>
      <c r="AB26" s="839"/>
      <c r="AC26" s="353"/>
      <c r="AD26" s="213"/>
      <c r="AE26" s="213"/>
      <c r="AF26" s="213"/>
      <c r="AG26" s="168"/>
      <c r="AH26" s="177"/>
      <c r="AI26" s="168"/>
      <c r="AJ26" s="168"/>
      <c r="AK26" s="168"/>
      <c r="AL26" s="204"/>
      <c r="AM26" s="215"/>
      <c r="AN26" s="214"/>
      <c r="AO26" s="254"/>
      <c r="AP26" s="922"/>
      <c r="AQ26" s="214"/>
      <c r="AR26" s="302">
        <v>14</v>
      </c>
      <c r="AS26" s="302">
        <v>0</v>
      </c>
      <c r="AT26" s="302">
        <v>0</v>
      </c>
      <c r="AU26" s="302">
        <v>0</v>
      </c>
      <c r="AV26" s="302">
        <v>0</v>
      </c>
      <c r="AW26" s="782">
        <v>0</v>
      </c>
      <c r="AX26" s="201"/>
      <c r="AY26" s="161"/>
      <c r="AZ26" s="161"/>
      <c r="BA26" s="161"/>
      <c r="BB26" s="83"/>
      <c r="BG26" s="3"/>
    </row>
    <row r="27" spans="1:59" ht="12.75" customHeight="1">
      <c r="A27" s="144"/>
      <c r="B27" s="144"/>
      <c r="C27" s="237"/>
      <c r="D27" s="30"/>
      <c r="E27" s="592"/>
      <c r="F27" s="465"/>
      <c r="G27" s="465"/>
      <c r="H27" s="465"/>
      <c r="I27" s="238"/>
      <c r="J27" s="465"/>
      <c r="K27" s="465"/>
      <c r="L27" s="465"/>
      <c r="M27" s="238"/>
      <c r="N27" s="839"/>
      <c r="O27" s="839"/>
      <c r="P27" s="839"/>
      <c r="Q27" s="353"/>
      <c r="R27" s="839"/>
      <c r="S27" s="839"/>
      <c r="T27" s="839"/>
      <c r="U27" s="353"/>
      <c r="V27" s="924"/>
      <c r="W27" s="839"/>
      <c r="X27" s="839"/>
      <c r="Y27" s="353"/>
      <c r="Z27" s="923"/>
      <c r="AA27" s="839"/>
      <c r="AB27" s="839"/>
      <c r="AC27" s="353"/>
      <c r="AD27" s="213"/>
      <c r="AE27" s="213"/>
      <c r="AF27" s="213"/>
      <c r="AG27" s="168"/>
      <c r="AH27" s="177"/>
      <c r="AI27" s="168"/>
      <c r="AJ27" s="168"/>
      <c r="AK27" s="168"/>
      <c r="AL27" s="204"/>
      <c r="AM27" s="215"/>
      <c r="AN27" s="214"/>
      <c r="AO27" s="254"/>
      <c r="AP27" s="922"/>
      <c r="AQ27" s="214"/>
      <c r="AR27" s="302"/>
      <c r="AS27" s="302"/>
      <c r="AT27" s="302"/>
      <c r="AU27" s="302"/>
      <c r="AV27" s="302"/>
      <c r="AW27" s="179"/>
      <c r="AX27" s="179"/>
      <c r="AY27" s="161"/>
      <c r="AZ27" s="161"/>
      <c r="BA27" s="161"/>
      <c r="BB27" s="83"/>
      <c r="BG27" s="3"/>
    </row>
    <row r="28" spans="1:59" ht="12.75" customHeight="1">
      <c r="A28" s="266" t="s">
        <v>391</v>
      </c>
      <c r="B28" s="144"/>
      <c r="C28" s="237">
        <v>-135</v>
      </c>
      <c r="D28" s="30">
        <v>-0.06341005166744951</v>
      </c>
      <c r="E28" s="592"/>
      <c r="F28" s="465"/>
      <c r="G28" s="465">
        <v>1994</v>
      </c>
      <c r="H28" s="465">
        <v>2012</v>
      </c>
      <c r="I28" s="298">
        <v>2031</v>
      </c>
      <c r="J28" s="465">
        <v>2060</v>
      </c>
      <c r="K28" s="465">
        <v>2129</v>
      </c>
      <c r="L28" s="465">
        <v>2215</v>
      </c>
      <c r="M28" s="298">
        <v>2368</v>
      </c>
      <c r="N28" s="839">
        <v>2428</v>
      </c>
      <c r="O28" s="839">
        <v>1735</v>
      </c>
      <c r="P28" s="839">
        <v>1710</v>
      </c>
      <c r="Q28" s="922">
        <v>1684</v>
      </c>
      <c r="R28" s="839">
        <v>1684</v>
      </c>
      <c r="S28" s="839">
        <v>1628</v>
      </c>
      <c r="T28" s="839">
        <v>1631</v>
      </c>
      <c r="U28" s="922">
        <v>1640</v>
      </c>
      <c r="V28" s="924">
        <v>1549</v>
      </c>
      <c r="W28" s="839">
        <v>1570</v>
      </c>
      <c r="X28" s="839">
        <v>1539</v>
      </c>
      <c r="Y28" s="353">
        <v>1514</v>
      </c>
      <c r="Z28" s="923">
        <v>1530</v>
      </c>
      <c r="AA28" s="839">
        <v>1570</v>
      </c>
      <c r="AB28" s="839">
        <v>1688</v>
      </c>
      <c r="AC28" s="353">
        <v>1698</v>
      </c>
      <c r="AD28" s="213">
        <v>1683</v>
      </c>
      <c r="AE28" s="213">
        <v>1676</v>
      </c>
      <c r="AF28" s="213">
        <v>1689</v>
      </c>
      <c r="AG28" s="168">
        <v>1657</v>
      </c>
      <c r="AH28" s="177">
        <v>1590</v>
      </c>
      <c r="AI28" s="168">
        <v>1575</v>
      </c>
      <c r="AJ28" s="168">
        <v>1562</v>
      </c>
      <c r="AK28" s="168">
        <v>1534</v>
      </c>
      <c r="AL28" s="204"/>
      <c r="AM28" s="215">
        <v>1530</v>
      </c>
      <c r="AN28" s="214">
        <v>1683</v>
      </c>
      <c r="AO28" s="254">
        <v>-153</v>
      </c>
      <c r="AP28" s="922">
        <v>-0.09090909090909091</v>
      </c>
      <c r="AQ28" s="214"/>
      <c r="AR28" s="302">
        <v>2060</v>
      </c>
      <c r="AS28" s="302">
        <v>2428</v>
      </c>
      <c r="AT28" s="922">
        <v>1684</v>
      </c>
      <c r="AU28" s="302">
        <v>1549</v>
      </c>
      <c r="AV28" s="302">
        <v>1530</v>
      </c>
      <c r="AW28" s="179">
        <v>1683</v>
      </c>
      <c r="AX28" s="179">
        <v>1590</v>
      </c>
      <c r="AY28" s="161">
        <v>1638</v>
      </c>
      <c r="AZ28" s="161">
        <v>1260</v>
      </c>
      <c r="BA28" s="161">
        <v>1156</v>
      </c>
      <c r="BB28" s="83"/>
      <c r="BG28" s="3"/>
    </row>
    <row r="29" spans="1:59" ht="12.75" customHeight="1">
      <c r="A29" s="144"/>
      <c r="B29" s="144"/>
      <c r="C29" s="237"/>
      <c r="D29" s="30"/>
      <c r="E29" s="592"/>
      <c r="F29" s="41"/>
      <c r="G29" s="41"/>
      <c r="H29" s="465"/>
      <c r="I29" s="238"/>
      <c r="J29" s="41"/>
      <c r="K29" s="41"/>
      <c r="L29" s="465"/>
      <c r="M29" s="238"/>
      <c r="N29" s="839"/>
      <c r="O29" s="839"/>
      <c r="P29" s="839"/>
      <c r="Q29" s="353"/>
      <c r="R29" s="839"/>
      <c r="S29" s="839"/>
      <c r="T29" s="839"/>
      <c r="U29" s="353"/>
      <c r="V29" s="839"/>
      <c r="W29" s="839"/>
      <c r="X29" s="839"/>
      <c r="Y29" s="353"/>
      <c r="Z29" s="923"/>
      <c r="AA29" s="839"/>
      <c r="AB29" s="839"/>
      <c r="AC29" s="353"/>
      <c r="AD29" s="213"/>
      <c r="AE29" s="213"/>
      <c r="AF29" s="213"/>
      <c r="AG29" s="168"/>
      <c r="AH29" s="177"/>
      <c r="AI29" s="168"/>
      <c r="AJ29" s="168"/>
      <c r="AK29" s="168"/>
      <c r="AL29" s="204"/>
      <c r="AM29" s="215"/>
      <c r="AN29" s="214"/>
      <c r="AO29" s="254"/>
      <c r="AP29" s="922"/>
      <c r="AQ29" s="214"/>
      <c r="AR29" s="302"/>
      <c r="AS29" s="302"/>
      <c r="AT29" s="302"/>
      <c r="AU29" s="302"/>
      <c r="AV29" s="302"/>
      <c r="AW29" s="179"/>
      <c r="AX29" s="179"/>
      <c r="AY29" s="161"/>
      <c r="AZ29" s="161"/>
      <c r="BA29" s="161"/>
      <c r="BB29" s="83"/>
      <c r="BG29" s="3"/>
    </row>
    <row r="30" spans="1:59" ht="12.75" customHeight="1">
      <c r="A30" s="266" t="s">
        <v>331</v>
      </c>
      <c r="B30" s="144"/>
      <c r="C30" s="237">
        <v>-21</v>
      </c>
      <c r="D30" s="30">
        <v>-0.11413043478260869</v>
      </c>
      <c r="E30" s="592"/>
      <c r="F30" s="465"/>
      <c r="G30" s="465">
        <v>163</v>
      </c>
      <c r="H30" s="465">
        <v>163</v>
      </c>
      <c r="I30" s="238">
        <v>173</v>
      </c>
      <c r="J30" s="465">
        <v>178</v>
      </c>
      <c r="K30" s="465">
        <v>184</v>
      </c>
      <c r="L30" s="465">
        <v>231</v>
      </c>
      <c r="M30" s="238">
        <v>269</v>
      </c>
      <c r="N30" s="839">
        <v>280</v>
      </c>
      <c r="O30" s="839">
        <v>278</v>
      </c>
      <c r="P30" s="839">
        <v>271</v>
      </c>
      <c r="Q30" s="353">
        <v>263</v>
      </c>
      <c r="R30" s="839">
        <v>271</v>
      </c>
      <c r="S30" s="839">
        <v>272</v>
      </c>
      <c r="T30" s="839">
        <v>280</v>
      </c>
      <c r="U30" s="353">
        <v>290</v>
      </c>
      <c r="V30" s="839">
        <v>303</v>
      </c>
      <c r="W30" s="839">
        <v>327</v>
      </c>
      <c r="X30" s="839">
        <v>334</v>
      </c>
      <c r="Y30" s="353">
        <v>335</v>
      </c>
      <c r="Z30" s="923">
        <v>338</v>
      </c>
      <c r="AA30" s="839">
        <v>347</v>
      </c>
      <c r="AB30" s="839">
        <v>341</v>
      </c>
      <c r="AC30" s="353">
        <v>354</v>
      </c>
      <c r="AD30" s="213">
        <v>354</v>
      </c>
      <c r="AE30" s="213">
        <v>377</v>
      </c>
      <c r="AF30" s="213">
        <v>378</v>
      </c>
      <c r="AG30" s="168">
        <v>373</v>
      </c>
      <c r="AH30" s="177">
        <v>368</v>
      </c>
      <c r="AI30" s="168">
        <v>368</v>
      </c>
      <c r="AJ30" s="168">
        <v>371</v>
      </c>
      <c r="AK30" s="168">
        <v>373</v>
      </c>
      <c r="AL30" s="204"/>
      <c r="AM30" s="215">
        <v>338</v>
      </c>
      <c r="AN30" s="214">
        <v>354</v>
      </c>
      <c r="AO30" s="254">
        <v>-16</v>
      </c>
      <c r="AP30" s="922">
        <v>-0.04519774011299435</v>
      </c>
      <c r="AQ30" s="214"/>
      <c r="AR30" s="302">
        <v>178</v>
      </c>
      <c r="AS30" s="302">
        <v>280</v>
      </c>
      <c r="AT30" s="302">
        <v>271</v>
      </c>
      <c r="AU30" s="302">
        <v>303</v>
      </c>
      <c r="AV30" s="302">
        <v>338</v>
      </c>
      <c r="AW30" s="179">
        <v>354</v>
      </c>
      <c r="AX30" s="179">
        <v>368</v>
      </c>
      <c r="AY30" s="161">
        <v>365</v>
      </c>
      <c r="AZ30" s="161">
        <v>343</v>
      </c>
      <c r="BA30" s="161">
        <v>327</v>
      </c>
      <c r="BB30" s="83"/>
      <c r="BG30" s="3"/>
    </row>
    <row r="31" spans="1:59" ht="12.75" customHeight="1">
      <c r="A31" s="266" t="s">
        <v>330</v>
      </c>
      <c r="B31" s="144"/>
      <c r="C31" s="237">
        <v>-42</v>
      </c>
      <c r="D31" s="30">
        <v>-0.08695652173913043</v>
      </c>
      <c r="E31" s="592"/>
      <c r="F31" s="465"/>
      <c r="G31" s="465">
        <v>441</v>
      </c>
      <c r="H31" s="465">
        <v>446</v>
      </c>
      <c r="I31" s="238">
        <v>472</v>
      </c>
      <c r="J31" s="465">
        <v>494</v>
      </c>
      <c r="K31" s="465">
        <v>483</v>
      </c>
      <c r="L31" s="465">
        <v>553</v>
      </c>
      <c r="M31" s="238">
        <v>604</v>
      </c>
      <c r="N31" s="839">
        <v>604</v>
      </c>
      <c r="O31" s="839">
        <v>631</v>
      </c>
      <c r="P31" s="839">
        <v>626</v>
      </c>
      <c r="Q31" s="353">
        <v>628</v>
      </c>
      <c r="R31" s="839">
        <v>645</v>
      </c>
      <c r="S31" s="839">
        <v>653</v>
      </c>
      <c r="T31" s="839">
        <v>712</v>
      </c>
      <c r="U31" s="353">
        <v>684</v>
      </c>
      <c r="V31" s="839">
        <v>718</v>
      </c>
      <c r="W31" s="839">
        <v>753</v>
      </c>
      <c r="X31" s="839">
        <v>763</v>
      </c>
      <c r="Y31" s="353">
        <v>773</v>
      </c>
      <c r="Z31" s="923">
        <v>790</v>
      </c>
      <c r="AA31" s="839">
        <v>809</v>
      </c>
      <c r="AB31" s="839">
        <v>818</v>
      </c>
      <c r="AC31" s="353">
        <v>832</v>
      </c>
      <c r="AD31" s="213">
        <v>852</v>
      </c>
      <c r="AE31" s="213">
        <v>859</v>
      </c>
      <c r="AF31" s="213">
        <v>865</v>
      </c>
      <c r="AG31" s="168">
        <v>840</v>
      </c>
      <c r="AH31" s="177">
        <v>817</v>
      </c>
      <c r="AI31" s="168">
        <v>797</v>
      </c>
      <c r="AJ31" s="168">
        <v>790</v>
      </c>
      <c r="AK31" s="168">
        <v>775</v>
      </c>
      <c r="AL31" s="204"/>
      <c r="AM31" s="215">
        <v>790</v>
      </c>
      <c r="AN31" s="214">
        <v>852</v>
      </c>
      <c r="AO31" s="254">
        <v>-62</v>
      </c>
      <c r="AP31" s="922">
        <v>-0.07276995305164319</v>
      </c>
      <c r="AQ31" s="214"/>
      <c r="AR31" s="302">
        <v>494</v>
      </c>
      <c r="AS31" s="302">
        <v>604</v>
      </c>
      <c r="AT31" s="302">
        <v>645</v>
      </c>
      <c r="AU31" s="302">
        <v>718</v>
      </c>
      <c r="AV31" s="302">
        <v>790</v>
      </c>
      <c r="AW31" s="179">
        <v>852</v>
      </c>
      <c r="AX31" s="179">
        <v>817</v>
      </c>
      <c r="AY31" s="161">
        <v>763</v>
      </c>
      <c r="AZ31" s="161">
        <v>710</v>
      </c>
      <c r="BA31" s="161">
        <v>675</v>
      </c>
      <c r="BB31" s="83"/>
      <c r="BG31" s="3"/>
    </row>
    <row r="32" spans="1:59" ht="25.5" customHeight="1">
      <c r="A32" s="1468" t="s">
        <v>338</v>
      </c>
      <c r="B32" s="1469"/>
      <c r="C32" s="237">
        <v>0</v>
      </c>
      <c r="D32" s="30">
        <v>0</v>
      </c>
      <c r="E32" s="592"/>
      <c r="F32" s="465"/>
      <c r="G32" s="621">
        <v>119</v>
      </c>
      <c r="H32" s="621">
        <v>115</v>
      </c>
      <c r="I32" s="618">
        <v>119</v>
      </c>
      <c r="J32" s="465">
        <v>122</v>
      </c>
      <c r="K32" s="621">
        <v>119</v>
      </c>
      <c r="L32" s="621">
        <v>96</v>
      </c>
      <c r="M32" s="618">
        <v>98</v>
      </c>
      <c r="N32" s="839">
        <v>106</v>
      </c>
      <c r="O32" s="254">
        <v>0</v>
      </c>
      <c r="P32" s="254">
        <v>0</v>
      </c>
      <c r="Q32" s="353">
        <v>0</v>
      </c>
      <c r="R32" s="254">
        <v>0</v>
      </c>
      <c r="S32" s="254">
        <v>0</v>
      </c>
      <c r="T32" s="254">
        <v>0</v>
      </c>
      <c r="U32" s="353">
        <v>0</v>
      </c>
      <c r="V32" s="254">
        <v>0</v>
      </c>
      <c r="W32" s="254">
        <v>0</v>
      </c>
      <c r="X32" s="839"/>
      <c r="Y32" s="353"/>
      <c r="Z32" s="839"/>
      <c r="AA32" s="839"/>
      <c r="AB32" s="839"/>
      <c r="AC32" s="353"/>
      <c r="AD32" s="213"/>
      <c r="AE32" s="213"/>
      <c r="AF32" s="213"/>
      <c r="AG32" s="168"/>
      <c r="AH32" s="177"/>
      <c r="AI32" s="168"/>
      <c r="AJ32" s="168"/>
      <c r="AK32" s="168"/>
      <c r="AL32" s="204"/>
      <c r="AM32" s="215"/>
      <c r="AN32" s="214"/>
      <c r="AO32" s="254"/>
      <c r="AP32" s="922"/>
      <c r="AQ32" s="214"/>
      <c r="AR32" s="302">
        <v>122</v>
      </c>
      <c r="AS32" s="302">
        <v>106</v>
      </c>
      <c r="AT32" s="302">
        <v>0</v>
      </c>
      <c r="AU32" s="302">
        <v>0</v>
      </c>
      <c r="AV32" s="302">
        <v>0</v>
      </c>
      <c r="AW32" s="662">
        <v>0</v>
      </c>
      <c r="AX32" s="179"/>
      <c r="AY32" s="161"/>
      <c r="AZ32" s="161"/>
      <c r="BA32" s="161"/>
      <c r="BB32" s="83"/>
      <c r="BG32" s="3"/>
    </row>
    <row r="33" spans="1:59" ht="12.75" customHeight="1">
      <c r="A33" s="266" t="s">
        <v>378</v>
      </c>
      <c r="B33" s="144"/>
      <c r="C33" s="237">
        <v>-2</v>
      </c>
      <c r="D33" s="30">
        <v>-0.18181818181818182</v>
      </c>
      <c r="E33" s="592"/>
      <c r="F33" s="465"/>
      <c r="G33" s="465">
        <v>9</v>
      </c>
      <c r="H33" s="465">
        <v>8</v>
      </c>
      <c r="I33" s="238">
        <v>7</v>
      </c>
      <c r="J33" s="465">
        <v>12</v>
      </c>
      <c r="K33" s="465">
        <v>11</v>
      </c>
      <c r="L33" s="465">
        <v>11</v>
      </c>
      <c r="M33" s="238">
        <v>10</v>
      </c>
      <c r="N33" s="254">
        <v>0</v>
      </c>
      <c r="O33" s="254">
        <v>0</v>
      </c>
      <c r="P33" s="254">
        <v>0</v>
      </c>
      <c r="Q33" s="353">
        <v>0</v>
      </c>
      <c r="R33" s="254">
        <v>0</v>
      </c>
      <c r="S33" s="254">
        <v>0</v>
      </c>
      <c r="T33" s="254">
        <v>0</v>
      </c>
      <c r="U33" s="353">
        <v>0</v>
      </c>
      <c r="V33" s="839"/>
      <c r="W33" s="839"/>
      <c r="X33" s="839"/>
      <c r="Y33" s="353"/>
      <c r="Z33" s="923"/>
      <c r="AA33" s="839"/>
      <c r="AB33" s="839"/>
      <c r="AC33" s="353"/>
      <c r="AD33" s="213"/>
      <c r="AE33" s="213"/>
      <c r="AF33" s="213"/>
      <c r="AG33" s="168"/>
      <c r="AH33" s="177"/>
      <c r="AI33" s="168"/>
      <c r="AJ33" s="168"/>
      <c r="AK33" s="168"/>
      <c r="AL33" s="204"/>
      <c r="AM33" s="215"/>
      <c r="AN33" s="214"/>
      <c r="AO33" s="254"/>
      <c r="AP33" s="922"/>
      <c r="AQ33" s="214"/>
      <c r="AR33" s="302">
        <v>12</v>
      </c>
      <c r="AS33" s="302">
        <v>0</v>
      </c>
      <c r="AT33" s="302">
        <v>0</v>
      </c>
      <c r="AU33" s="302">
        <v>0</v>
      </c>
      <c r="AV33" s="302">
        <v>0</v>
      </c>
      <c r="AW33" s="782">
        <v>0</v>
      </c>
      <c r="AX33" s="179"/>
      <c r="AY33" s="161"/>
      <c r="AZ33" s="161"/>
      <c r="BA33" s="161"/>
      <c r="BB33" s="83"/>
      <c r="BG33" s="3"/>
    </row>
    <row r="34" spans="1:59" ht="12.75" customHeight="1">
      <c r="A34" s="266"/>
      <c r="B34" s="144"/>
      <c r="C34" s="237"/>
      <c r="D34" s="30"/>
      <c r="E34" s="592"/>
      <c r="F34" s="465"/>
      <c r="G34" s="465"/>
      <c r="H34" s="465"/>
      <c r="I34" s="238"/>
      <c r="J34" s="465"/>
      <c r="K34" s="465"/>
      <c r="L34" s="465"/>
      <c r="M34" s="238"/>
      <c r="N34" s="839"/>
      <c r="O34" s="839"/>
      <c r="P34" s="839"/>
      <c r="Q34" s="353"/>
      <c r="R34" s="839"/>
      <c r="S34" s="839"/>
      <c r="T34" s="839"/>
      <c r="U34" s="353"/>
      <c r="V34" s="839"/>
      <c r="W34" s="839"/>
      <c r="X34" s="839"/>
      <c r="Y34" s="353"/>
      <c r="Z34" s="923"/>
      <c r="AA34" s="839"/>
      <c r="AB34" s="839"/>
      <c r="AC34" s="353"/>
      <c r="AD34" s="213"/>
      <c r="AE34" s="213"/>
      <c r="AF34" s="213"/>
      <c r="AG34" s="168"/>
      <c r="AH34" s="177"/>
      <c r="AI34" s="168"/>
      <c r="AJ34" s="168"/>
      <c r="AK34" s="168"/>
      <c r="AL34" s="204"/>
      <c r="AM34" s="215"/>
      <c r="AN34" s="214"/>
      <c r="AO34" s="254"/>
      <c r="AP34" s="922"/>
      <c r="AQ34" s="214"/>
      <c r="AR34" s="302"/>
      <c r="AS34" s="302"/>
      <c r="AT34" s="302"/>
      <c r="AU34" s="302"/>
      <c r="AV34" s="302"/>
      <c r="AW34" s="179"/>
      <c r="AX34" s="179"/>
      <c r="AY34" s="161"/>
      <c r="AZ34" s="161"/>
      <c r="BA34" s="161"/>
      <c r="BB34" s="83"/>
      <c r="BG34" s="3"/>
    </row>
    <row r="35" spans="1:59" ht="12.75" customHeight="1">
      <c r="A35" s="266" t="s">
        <v>344</v>
      </c>
      <c r="B35" s="144"/>
      <c r="C35" s="237">
        <v>279</v>
      </c>
      <c r="D35" s="30">
        <v>0.3527180783817952</v>
      </c>
      <c r="E35" s="592"/>
      <c r="F35" s="465"/>
      <c r="G35" s="465">
        <v>1070</v>
      </c>
      <c r="H35" s="465">
        <v>935</v>
      </c>
      <c r="I35" s="238">
        <v>880</v>
      </c>
      <c r="J35" s="465">
        <v>835</v>
      </c>
      <c r="K35" s="465">
        <v>791</v>
      </c>
      <c r="L35" s="465">
        <v>784</v>
      </c>
      <c r="M35" s="238">
        <v>709</v>
      </c>
      <c r="N35" s="839">
        <v>677</v>
      </c>
      <c r="O35" s="839">
        <v>607</v>
      </c>
      <c r="P35" s="839">
        <v>574</v>
      </c>
      <c r="Q35" s="353">
        <v>575</v>
      </c>
      <c r="R35" s="839">
        <v>546</v>
      </c>
      <c r="S35" s="839">
        <v>514</v>
      </c>
      <c r="T35" s="839">
        <v>473</v>
      </c>
      <c r="U35" s="353">
        <v>431</v>
      </c>
      <c r="V35" s="839">
        <v>445</v>
      </c>
      <c r="W35" s="839"/>
      <c r="X35" s="839"/>
      <c r="Y35" s="353"/>
      <c r="Z35" s="839"/>
      <c r="AA35" s="839"/>
      <c r="AB35" s="839"/>
      <c r="AC35" s="353"/>
      <c r="AD35" s="213"/>
      <c r="AE35" s="213"/>
      <c r="AF35" s="213"/>
      <c r="AG35" s="168"/>
      <c r="AH35" s="177"/>
      <c r="AI35" s="168"/>
      <c r="AJ35" s="168"/>
      <c r="AK35" s="168"/>
      <c r="AL35" s="204"/>
      <c r="AM35" s="215"/>
      <c r="AN35" s="214"/>
      <c r="AO35" s="254"/>
      <c r="AP35" s="922"/>
      <c r="AQ35" s="214"/>
      <c r="AR35" s="302">
        <v>835</v>
      </c>
      <c r="AS35" s="302">
        <v>677</v>
      </c>
      <c r="AT35" s="302">
        <v>546</v>
      </c>
      <c r="AU35" s="302">
        <v>445</v>
      </c>
      <c r="AV35" s="302">
        <v>393</v>
      </c>
      <c r="AW35" s="179">
        <v>730</v>
      </c>
      <c r="AX35" s="179"/>
      <c r="AY35" s="161"/>
      <c r="AZ35" s="161"/>
      <c r="BA35" s="161"/>
      <c r="BB35" s="83"/>
      <c r="BG35" s="3"/>
    </row>
    <row r="36" spans="1:59" s="96" customFormat="1" ht="12.75" customHeight="1">
      <c r="A36" s="781" t="s">
        <v>345</v>
      </c>
      <c r="B36" s="780"/>
      <c r="C36" s="237">
        <v>-1867</v>
      </c>
      <c r="D36" s="30">
        <v>-0.16372884328685433</v>
      </c>
      <c r="E36" s="593"/>
      <c r="F36" s="425"/>
      <c r="G36" s="425">
        <v>9536</v>
      </c>
      <c r="H36" s="425">
        <v>9427</v>
      </c>
      <c r="I36" s="238">
        <v>9325</v>
      </c>
      <c r="J36" s="425">
        <v>10429</v>
      </c>
      <c r="K36" s="425">
        <v>11403</v>
      </c>
      <c r="L36" s="425">
        <v>13344</v>
      </c>
      <c r="M36" s="238">
        <v>13137</v>
      </c>
      <c r="N36" s="925">
        <v>14828</v>
      </c>
      <c r="O36" s="925">
        <v>14367</v>
      </c>
      <c r="P36" s="925">
        <v>14635</v>
      </c>
      <c r="Q36" s="353">
        <v>15676</v>
      </c>
      <c r="R36" s="925">
        <v>16985</v>
      </c>
      <c r="S36" s="925">
        <v>16006</v>
      </c>
      <c r="T36" s="925">
        <v>13895</v>
      </c>
      <c r="U36" s="353">
        <v>12571</v>
      </c>
      <c r="V36" s="925">
        <v>12922</v>
      </c>
      <c r="W36" s="925">
        <v>12210</v>
      </c>
      <c r="X36" s="925">
        <v>11386</v>
      </c>
      <c r="Y36" s="353">
        <v>10341</v>
      </c>
      <c r="Z36" s="925">
        <v>9184</v>
      </c>
      <c r="AA36" s="925">
        <v>9030</v>
      </c>
      <c r="AB36" s="925">
        <v>11584</v>
      </c>
      <c r="AC36" s="353">
        <v>14695</v>
      </c>
      <c r="AD36" s="213">
        <v>14295</v>
      </c>
      <c r="AE36" s="213">
        <v>14860</v>
      </c>
      <c r="AF36" s="213">
        <v>15288</v>
      </c>
      <c r="AG36" s="168">
        <v>15701</v>
      </c>
      <c r="AH36" s="177">
        <v>15014</v>
      </c>
      <c r="AI36" s="168">
        <v>14121</v>
      </c>
      <c r="AJ36" s="168">
        <v>13826</v>
      </c>
      <c r="AK36" s="168">
        <v>13942</v>
      </c>
      <c r="AL36" s="926"/>
      <c r="AM36" s="215">
        <v>9184</v>
      </c>
      <c r="AN36" s="214">
        <v>14295</v>
      </c>
      <c r="AO36" s="254">
        <v>-5111</v>
      </c>
      <c r="AP36" s="922">
        <v>-0.35753760055963624</v>
      </c>
      <c r="AQ36" s="925"/>
      <c r="AR36" s="302">
        <v>10429</v>
      </c>
      <c r="AS36" s="302">
        <v>14828</v>
      </c>
      <c r="AT36" s="302">
        <v>16985</v>
      </c>
      <c r="AU36" s="302">
        <v>12922</v>
      </c>
      <c r="AV36" s="302">
        <v>9184</v>
      </c>
      <c r="AW36" s="179">
        <v>14295</v>
      </c>
      <c r="AX36" s="179">
        <v>15014</v>
      </c>
      <c r="AY36" s="161">
        <v>14310</v>
      </c>
      <c r="AZ36" s="161">
        <v>9967</v>
      </c>
      <c r="BA36" s="161">
        <v>8292</v>
      </c>
      <c r="BB36" s="143"/>
      <c r="BG36" s="210"/>
    </row>
    <row r="37" spans="1:59" s="96" customFormat="1" ht="12.75" customHeight="1">
      <c r="A37" s="781" t="s">
        <v>356</v>
      </c>
      <c r="B37" s="780"/>
      <c r="C37" s="237">
        <v>3756</v>
      </c>
      <c r="D37" s="30">
        <v>0.2466509062253743</v>
      </c>
      <c r="E37" s="593"/>
      <c r="F37" s="425"/>
      <c r="G37" s="621">
        <v>18984</v>
      </c>
      <c r="H37" s="621">
        <v>17655</v>
      </c>
      <c r="I37" s="618">
        <v>16125</v>
      </c>
      <c r="J37" s="425">
        <v>15936</v>
      </c>
      <c r="K37" s="621">
        <v>15228</v>
      </c>
      <c r="L37" s="621">
        <v>13122</v>
      </c>
      <c r="M37" s="618">
        <v>12583</v>
      </c>
      <c r="N37" s="925">
        <v>13087.2</v>
      </c>
      <c r="O37" s="254">
        <v>0</v>
      </c>
      <c r="P37" s="254">
        <v>0</v>
      </c>
      <c r="Q37" s="353">
        <v>0</v>
      </c>
      <c r="R37" s="254">
        <v>0</v>
      </c>
      <c r="S37" s="254">
        <v>0</v>
      </c>
      <c r="T37" s="254">
        <v>0</v>
      </c>
      <c r="U37" s="353">
        <v>0</v>
      </c>
      <c r="V37" s="254">
        <v>0</v>
      </c>
      <c r="W37" s="254">
        <v>0</v>
      </c>
      <c r="X37" s="839"/>
      <c r="Y37" s="353"/>
      <c r="Z37" s="839"/>
      <c r="AA37" s="839"/>
      <c r="AB37" s="839"/>
      <c r="AC37" s="353"/>
      <c r="AD37" s="213"/>
      <c r="AE37" s="213"/>
      <c r="AF37" s="213"/>
      <c r="AG37" s="168"/>
      <c r="AH37" s="177"/>
      <c r="AI37" s="168"/>
      <c r="AJ37" s="168"/>
      <c r="AK37" s="168"/>
      <c r="AL37" s="204"/>
      <c r="AM37" s="215"/>
      <c r="AN37" s="214"/>
      <c r="AO37" s="254"/>
      <c r="AP37" s="922"/>
      <c r="AQ37" s="214"/>
      <c r="AR37" s="302">
        <v>15936</v>
      </c>
      <c r="AS37" s="302">
        <v>13087.2</v>
      </c>
      <c r="AT37" s="302">
        <v>0</v>
      </c>
      <c r="AU37" s="302">
        <v>0</v>
      </c>
      <c r="AV37" s="302">
        <v>0</v>
      </c>
      <c r="AW37" s="662">
        <v>0</v>
      </c>
      <c r="AX37" s="179">
        <v>807</v>
      </c>
      <c r="AY37" s="161">
        <v>613</v>
      </c>
      <c r="AZ37" s="161">
        <v>380</v>
      </c>
      <c r="BA37" s="161">
        <v>237</v>
      </c>
      <c r="BB37" s="143"/>
      <c r="BG37" s="210"/>
    </row>
    <row r="38" spans="1:59" s="96" customFormat="1" ht="12.75" customHeight="1">
      <c r="A38" s="781" t="s">
        <v>380</v>
      </c>
      <c r="B38" s="780"/>
      <c r="C38" s="237">
        <v>55</v>
      </c>
      <c r="D38" s="30">
        <v>0.13480392156862744</v>
      </c>
      <c r="E38" s="593"/>
      <c r="F38" s="425"/>
      <c r="G38" s="621">
        <v>463</v>
      </c>
      <c r="H38" s="621">
        <v>411</v>
      </c>
      <c r="I38" s="618">
        <v>360</v>
      </c>
      <c r="J38" s="425">
        <v>451</v>
      </c>
      <c r="K38" s="621">
        <v>408</v>
      </c>
      <c r="L38" s="621">
        <v>354</v>
      </c>
      <c r="M38" s="618">
        <v>305.208757658577</v>
      </c>
      <c r="N38" s="254">
        <v>0</v>
      </c>
      <c r="O38" s="254">
        <v>0</v>
      </c>
      <c r="P38" s="254">
        <v>0</v>
      </c>
      <c r="Q38" s="353">
        <v>0</v>
      </c>
      <c r="R38" s="254">
        <v>0</v>
      </c>
      <c r="S38" s="254">
        <v>0</v>
      </c>
      <c r="T38" s="254">
        <v>0</v>
      </c>
      <c r="U38" s="353">
        <v>0</v>
      </c>
      <c r="V38" s="254"/>
      <c r="W38" s="254"/>
      <c r="X38" s="839"/>
      <c r="Y38" s="353"/>
      <c r="Z38" s="839"/>
      <c r="AA38" s="839"/>
      <c r="AB38" s="839"/>
      <c r="AC38" s="353"/>
      <c r="AD38" s="213"/>
      <c r="AE38" s="213"/>
      <c r="AF38" s="213"/>
      <c r="AG38" s="168"/>
      <c r="AH38" s="177"/>
      <c r="AI38" s="168"/>
      <c r="AJ38" s="168"/>
      <c r="AK38" s="168"/>
      <c r="AL38" s="204"/>
      <c r="AM38" s="215"/>
      <c r="AN38" s="214"/>
      <c r="AO38" s="254"/>
      <c r="AP38" s="922"/>
      <c r="AQ38" s="214"/>
      <c r="AR38" s="302">
        <v>451</v>
      </c>
      <c r="AS38" s="302">
        <v>0</v>
      </c>
      <c r="AT38" s="302">
        <v>0</v>
      </c>
      <c r="AU38" s="302">
        <v>0</v>
      </c>
      <c r="AV38" s="302">
        <v>0</v>
      </c>
      <c r="AW38" s="782">
        <v>0</v>
      </c>
      <c r="AX38" s="179"/>
      <c r="AY38" s="161"/>
      <c r="AZ38" s="161"/>
      <c r="BA38" s="161"/>
      <c r="BB38" s="143"/>
      <c r="BG38" s="210"/>
    </row>
    <row r="39" spans="1:59" s="96" customFormat="1" ht="12.75" customHeight="1">
      <c r="A39" s="781" t="s">
        <v>348</v>
      </c>
      <c r="B39" s="780"/>
      <c r="C39" s="237">
        <v>1944</v>
      </c>
      <c r="D39" s="30">
        <v>0.07189615000554754</v>
      </c>
      <c r="E39" s="593"/>
      <c r="F39" s="425"/>
      <c r="G39" s="425">
        <v>28983</v>
      </c>
      <c r="H39" s="425">
        <v>27493</v>
      </c>
      <c r="I39" s="238">
        <v>25810</v>
      </c>
      <c r="J39" s="425">
        <v>26816</v>
      </c>
      <c r="K39" s="425">
        <v>27039</v>
      </c>
      <c r="L39" s="425">
        <v>26820</v>
      </c>
      <c r="M39" s="238">
        <v>26025.208757658576</v>
      </c>
      <c r="N39" s="425">
        <v>27915.2</v>
      </c>
      <c r="O39" s="425">
        <v>14367</v>
      </c>
      <c r="P39" s="425">
        <v>14635</v>
      </c>
      <c r="Q39" s="238">
        <v>15676</v>
      </c>
      <c r="R39" s="425">
        <v>16985</v>
      </c>
      <c r="S39" s="425">
        <v>16006</v>
      </c>
      <c r="T39" s="425">
        <v>13895</v>
      </c>
      <c r="U39" s="238">
        <v>12571</v>
      </c>
      <c r="V39" s="425">
        <v>12922</v>
      </c>
      <c r="W39" s="425">
        <v>12210</v>
      </c>
      <c r="X39" s="425">
        <v>34.08982035928144</v>
      </c>
      <c r="Y39" s="238">
        <v>30.86865671641791</v>
      </c>
      <c r="Z39" s="425">
        <v>27</v>
      </c>
      <c r="AA39" s="425">
        <v>26</v>
      </c>
      <c r="AB39" s="425">
        <v>33.97067448680352</v>
      </c>
      <c r="AC39" s="238">
        <v>41.51129943502825</v>
      </c>
      <c r="AD39" s="380">
        <v>40</v>
      </c>
      <c r="AE39" s="380">
        <v>39</v>
      </c>
      <c r="AF39" s="380">
        <v>40</v>
      </c>
      <c r="AG39" s="424">
        <v>42</v>
      </c>
      <c r="AH39" s="179">
        <v>41</v>
      </c>
      <c r="AI39" s="424">
        <v>38</v>
      </c>
      <c r="AJ39" s="424">
        <v>37</v>
      </c>
      <c r="AK39" s="424">
        <v>37</v>
      </c>
      <c r="AL39" s="499"/>
      <c r="AM39" s="379">
        <v>9184</v>
      </c>
      <c r="AN39" s="276">
        <v>14295</v>
      </c>
      <c r="AO39" s="234">
        <v>-5111</v>
      </c>
      <c r="AP39" s="30">
        <v>-0.35753760055963624</v>
      </c>
      <c r="AQ39" s="425"/>
      <c r="AR39" s="201">
        <v>26816</v>
      </c>
      <c r="AS39" s="201">
        <v>27915.2</v>
      </c>
      <c r="AT39" s="201">
        <v>16985</v>
      </c>
      <c r="AU39" s="201">
        <v>12922</v>
      </c>
      <c r="AV39" s="201">
        <v>9184</v>
      </c>
      <c r="AW39" s="201">
        <v>14295</v>
      </c>
      <c r="AX39" s="179">
        <v>41</v>
      </c>
      <c r="AY39" s="161">
        <v>39</v>
      </c>
      <c r="AZ39" s="161">
        <v>29</v>
      </c>
      <c r="BA39" s="161">
        <v>25</v>
      </c>
      <c r="BB39" s="143"/>
      <c r="BG39" s="210"/>
    </row>
    <row r="40" spans="1:59" s="96" customFormat="1" ht="12.75" customHeight="1">
      <c r="A40" s="266"/>
      <c r="B40" s="144"/>
      <c r="C40" s="237"/>
      <c r="D40" s="30"/>
      <c r="E40" s="593"/>
      <c r="F40" s="425"/>
      <c r="G40" s="425"/>
      <c r="H40" s="425"/>
      <c r="I40" s="444"/>
      <c r="J40" s="425"/>
      <c r="K40" s="425"/>
      <c r="L40" s="425"/>
      <c r="M40" s="444"/>
      <c r="N40" s="425"/>
      <c r="O40" s="425"/>
      <c r="P40" s="425"/>
      <c r="Q40" s="444"/>
      <c r="R40" s="488"/>
      <c r="S40" s="425"/>
      <c r="T40" s="425"/>
      <c r="U40" s="444"/>
      <c r="V40" s="488"/>
      <c r="W40" s="425"/>
      <c r="X40" s="425"/>
      <c r="Y40" s="444"/>
      <c r="Z40" s="35"/>
      <c r="AA40" s="425"/>
      <c r="AB40" s="425"/>
      <c r="AC40" s="444"/>
      <c r="AD40" s="380"/>
      <c r="AE40" s="380"/>
      <c r="AF40" s="380"/>
      <c r="AG40" s="424"/>
      <c r="AH40" s="179"/>
      <c r="AI40" s="424"/>
      <c r="AJ40" s="424"/>
      <c r="AK40" s="424"/>
      <c r="AL40" s="499"/>
      <c r="AM40" s="379"/>
      <c r="AN40" s="276"/>
      <c r="AO40" s="234"/>
      <c r="AP40" s="30"/>
      <c r="AQ40" s="425"/>
      <c r="AR40" s="201"/>
      <c r="AS40" s="201"/>
      <c r="AT40" s="201"/>
      <c r="AU40" s="201"/>
      <c r="AV40" s="201"/>
      <c r="AW40" s="179"/>
      <c r="AX40" s="179"/>
      <c r="AY40" s="161"/>
      <c r="AZ40" s="161"/>
      <c r="BA40" s="161"/>
      <c r="BB40" s="143"/>
      <c r="BG40" s="210"/>
    </row>
    <row r="41" spans="1:59" s="96" customFormat="1" ht="25.5" customHeight="1">
      <c r="A41" s="1464" t="s">
        <v>237</v>
      </c>
      <c r="B41" s="1465"/>
      <c r="C41" s="237"/>
      <c r="D41" s="30"/>
      <c r="E41" s="593"/>
      <c r="F41" s="425"/>
      <c r="G41" s="425"/>
      <c r="H41" s="425"/>
      <c r="I41" s="444"/>
      <c r="J41" s="425"/>
      <c r="K41" s="425"/>
      <c r="L41" s="425"/>
      <c r="M41" s="444"/>
      <c r="N41" s="425"/>
      <c r="O41" s="425"/>
      <c r="P41" s="425"/>
      <c r="Q41" s="444"/>
      <c r="R41" s="35"/>
      <c r="S41" s="425"/>
      <c r="T41" s="425"/>
      <c r="U41" s="444"/>
      <c r="V41" s="35"/>
      <c r="W41" s="425"/>
      <c r="X41" s="425"/>
      <c r="Y41" s="444"/>
      <c r="Z41" s="35"/>
      <c r="AA41" s="425"/>
      <c r="AB41" s="425"/>
      <c r="AC41" s="444"/>
      <c r="AD41" s="380"/>
      <c r="AE41" s="380"/>
      <c r="AF41" s="380"/>
      <c r="AG41" s="424"/>
      <c r="AH41" s="179"/>
      <c r="AI41" s="424"/>
      <c r="AJ41" s="424"/>
      <c r="AK41" s="424"/>
      <c r="AL41" s="499"/>
      <c r="AM41" s="379"/>
      <c r="AN41" s="276"/>
      <c r="AO41" s="234"/>
      <c r="AP41" s="30"/>
      <c r="AQ41" s="425"/>
      <c r="AR41" s="201"/>
      <c r="AS41" s="201"/>
      <c r="AT41" s="201"/>
      <c r="AU41" s="201"/>
      <c r="AV41" s="201"/>
      <c r="AW41" s="179"/>
      <c r="AX41" s="179"/>
      <c r="AY41" s="161"/>
      <c r="AZ41" s="161"/>
      <c r="BA41" s="161"/>
      <c r="BB41" s="143"/>
      <c r="BG41" s="210"/>
    </row>
    <row r="42" spans="1:59" s="96" customFormat="1" ht="12.75" customHeight="1">
      <c r="A42" s="266"/>
      <c r="B42" s="144" t="s">
        <v>124</v>
      </c>
      <c r="C42" s="237">
        <v>-8</v>
      </c>
      <c r="D42" s="30">
        <v>-0.13114754098360656</v>
      </c>
      <c r="E42" s="593"/>
      <c r="F42" s="425"/>
      <c r="G42" s="425">
        <v>53</v>
      </c>
      <c r="H42" s="425">
        <v>55</v>
      </c>
      <c r="I42" s="424">
        <v>57</v>
      </c>
      <c r="J42" s="425">
        <v>55</v>
      </c>
      <c r="K42" s="425">
        <v>61</v>
      </c>
      <c r="L42" s="425">
        <v>71</v>
      </c>
      <c r="M42" s="424">
        <v>75</v>
      </c>
      <c r="N42" s="425">
        <v>52</v>
      </c>
      <c r="O42" s="425">
        <v>31</v>
      </c>
      <c r="P42" s="425">
        <v>29</v>
      </c>
      <c r="Q42" s="424">
        <v>29</v>
      </c>
      <c r="R42" s="425">
        <v>26</v>
      </c>
      <c r="S42" s="425">
        <v>24</v>
      </c>
      <c r="T42" s="425">
        <v>20</v>
      </c>
      <c r="U42" s="424">
        <v>23</v>
      </c>
      <c r="V42" s="425">
        <v>23</v>
      </c>
      <c r="W42" s="425">
        <v>23</v>
      </c>
      <c r="X42" s="425">
        <v>9</v>
      </c>
      <c r="Y42" s="424">
        <v>9</v>
      </c>
      <c r="Z42" s="425">
        <v>9</v>
      </c>
      <c r="AA42" s="425">
        <v>7</v>
      </c>
      <c r="AB42" s="425">
        <v>5</v>
      </c>
      <c r="AC42" s="424">
        <v>5</v>
      </c>
      <c r="AD42" s="380">
        <v>5</v>
      </c>
      <c r="AE42" s="380">
        <v>4</v>
      </c>
      <c r="AF42" s="380">
        <v>4</v>
      </c>
      <c r="AG42" s="424">
        <v>3</v>
      </c>
      <c r="AH42" s="179">
        <v>1</v>
      </c>
      <c r="AI42" s="424">
        <v>2</v>
      </c>
      <c r="AJ42" s="424">
        <v>2</v>
      </c>
      <c r="AK42" s="424">
        <v>1</v>
      </c>
      <c r="AL42" s="499"/>
      <c r="AM42" s="379">
        <v>9</v>
      </c>
      <c r="AN42" s="276">
        <v>5</v>
      </c>
      <c r="AO42" s="234">
        <v>4</v>
      </c>
      <c r="AP42" s="30">
        <v>0.8</v>
      </c>
      <c r="AQ42" s="425"/>
      <c r="AR42" s="201">
        <v>55</v>
      </c>
      <c r="AS42" s="201">
        <v>52</v>
      </c>
      <c r="AT42" s="201">
        <v>26</v>
      </c>
      <c r="AU42" s="201">
        <v>23</v>
      </c>
      <c r="AV42" s="201">
        <v>9</v>
      </c>
      <c r="AW42" s="179">
        <v>5</v>
      </c>
      <c r="AX42" s="179">
        <v>1</v>
      </c>
      <c r="AY42" s="161">
        <v>1</v>
      </c>
      <c r="AZ42" s="161">
        <v>6</v>
      </c>
      <c r="BA42" s="161">
        <v>5</v>
      </c>
      <c r="BB42" s="143"/>
      <c r="BG42" s="210"/>
    </row>
    <row r="43" spans="1:59" s="96" customFormat="1" ht="12.75" customHeight="1">
      <c r="A43" s="266"/>
      <c r="B43" s="144" t="s">
        <v>125</v>
      </c>
      <c r="C43" s="237">
        <v>-16</v>
      </c>
      <c r="D43" s="30">
        <v>-0.25806451612903225</v>
      </c>
      <c r="E43" s="592"/>
      <c r="F43" s="465"/>
      <c r="G43" s="465">
        <v>46</v>
      </c>
      <c r="H43" s="465">
        <v>50</v>
      </c>
      <c r="I43" s="216">
        <v>51</v>
      </c>
      <c r="J43" s="465">
        <v>56</v>
      </c>
      <c r="K43" s="465">
        <v>62</v>
      </c>
      <c r="L43" s="465">
        <v>65</v>
      </c>
      <c r="M43" s="216">
        <v>68</v>
      </c>
      <c r="N43" s="465">
        <v>77</v>
      </c>
      <c r="O43" s="465">
        <v>48</v>
      </c>
      <c r="P43" s="465">
        <v>41</v>
      </c>
      <c r="Q43" s="216">
        <v>41</v>
      </c>
      <c r="R43" s="465">
        <v>39</v>
      </c>
      <c r="S43" s="465">
        <v>35</v>
      </c>
      <c r="T43" s="465">
        <v>37</v>
      </c>
      <c r="U43" s="216">
        <v>39</v>
      </c>
      <c r="V43" s="465">
        <v>43</v>
      </c>
      <c r="W43" s="465">
        <v>45</v>
      </c>
      <c r="X43" s="465">
        <v>44</v>
      </c>
      <c r="Y43" s="216">
        <v>49</v>
      </c>
      <c r="Z43" s="465">
        <v>51</v>
      </c>
      <c r="AA43" s="465">
        <v>55</v>
      </c>
      <c r="AB43" s="465">
        <v>55</v>
      </c>
      <c r="AC43" s="216">
        <v>58</v>
      </c>
      <c r="AD43" s="380">
        <v>60</v>
      </c>
      <c r="AE43" s="380">
        <v>60</v>
      </c>
      <c r="AF43" s="380">
        <v>58</v>
      </c>
      <c r="AG43" s="424">
        <v>57</v>
      </c>
      <c r="AH43" s="179">
        <v>58</v>
      </c>
      <c r="AI43" s="424">
        <v>60</v>
      </c>
      <c r="AJ43" s="424">
        <v>60</v>
      </c>
      <c r="AK43" s="424">
        <v>61</v>
      </c>
      <c r="AL43" s="304"/>
      <c r="AM43" s="379">
        <v>51</v>
      </c>
      <c r="AN43" s="276">
        <v>60</v>
      </c>
      <c r="AO43" s="234">
        <v>-9</v>
      </c>
      <c r="AP43" s="30">
        <v>-0.15</v>
      </c>
      <c r="AQ43" s="276"/>
      <c r="AR43" s="201">
        <v>56</v>
      </c>
      <c r="AS43" s="201">
        <v>77</v>
      </c>
      <c r="AT43" s="201">
        <v>39</v>
      </c>
      <c r="AU43" s="201">
        <v>43</v>
      </c>
      <c r="AV43" s="201">
        <v>51</v>
      </c>
      <c r="AW43" s="179">
        <v>60</v>
      </c>
      <c r="AX43" s="179">
        <v>58</v>
      </c>
      <c r="AY43" s="161">
        <v>53</v>
      </c>
      <c r="AZ43" s="161">
        <v>51</v>
      </c>
      <c r="BA43" s="161">
        <v>31</v>
      </c>
      <c r="BB43" s="143"/>
      <c r="BG43" s="210"/>
    </row>
    <row r="44" spans="1:59" ht="12.75" customHeight="1">
      <c r="A44" s="266"/>
      <c r="B44" s="144" t="s">
        <v>126</v>
      </c>
      <c r="C44" s="237">
        <v>-24</v>
      </c>
      <c r="D44" s="30">
        <v>-0.1951219512195122</v>
      </c>
      <c r="E44" s="592"/>
      <c r="F44" s="466"/>
      <c r="G44" s="466">
        <v>99</v>
      </c>
      <c r="H44" s="466">
        <v>105</v>
      </c>
      <c r="I44" s="443">
        <v>108</v>
      </c>
      <c r="J44" s="466">
        <v>111</v>
      </c>
      <c r="K44" s="466">
        <v>123</v>
      </c>
      <c r="L44" s="466">
        <v>136</v>
      </c>
      <c r="M44" s="443">
        <v>143</v>
      </c>
      <c r="N44" s="466">
        <v>129</v>
      </c>
      <c r="O44" s="466">
        <v>79</v>
      </c>
      <c r="P44" s="466">
        <v>70</v>
      </c>
      <c r="Q44" s="443">
        <v>70</v>
      </c>
      <c r="R44" s="466">
        <v>65</v>
      </c>
      <c r="S44" s="466">
        <v>59</v>
      </c>
      <c r="T44" s="466">
        <v>57</v>
      </c>
      <c r="U44" s="443">
        <v>62</v>
      </c>
      <c r="V44" s="466">
        <v>66</v>
      </c>
      <c r="W44" s="466">
        <v>68</v>
      </c>
      <c r="X44" s="466">
        <v>53</v>
      </c>
      <c r="Y44" s="443">
        <v>58</v>
      </c>
      <c r="Z44" s="466">
        <v>60</v>
      </c>
      <c r="AA44" s="466">
        <v>62</v>
      </c>
      <c r="AB44" s="466">
        <v>60</v>
      </c>
      <c r="AC44" s="443">
        <v>63</v>
      </c>
      <c r="AD44" s="380">
        <v>65</v>
      </c>
      <c r="AE44" s="380">
        <v>64</v>
      </c>
      <c r="AF44" s="380">
        <v>62</v>
      </c>
      <c r="AG44" s="424">
        <v>60</v>
      </c>
      <c r="AH44" s="179">
        <v>59</v>
      </c>
      <c r="AI44" s="424">
        <v>62</v>
      </c>
      <c r="AJ44" s="424">
        <v>62</v>
      </c>
      <c r="AK44" s="424">
        <v>62</v>
      </c>
      <c r="AL44" s="304"/>
      <c r="AM44" s="379">
        <v>60</v>
      </c>
      <c r="AN44" s="276">
        <v>65</v>
      </c>
      <c r="AO44" s="234">
        <v>-5</v>
      </c>
      <c r="AP44" s="30">
        <v>-0.07692307692307693</v>
      </c>
      <c r="AQ44" s="276"/>
      <c r="AR44" s="201">
        <v>111</v>
      </c>
      <c r="AS44" s="201">
        <v>129</v>
      </c>
      <c r="AT44" s="201">
        <v>65</v>
      </c>
      <c r="AU44" s="201">
        <v>66</v>
      </c>
      <c r="AV44" s="201">
        <v>60</v>
      </c>
      <c r="AW44" s="179">
        <v>65</v>
      </c>
      <c r="AX44" s="179">
        <v>59</v>
      </c>
      <c r="AY44" s="161">
        <v>54</v>
      </c>
      <c r="AZ44" s="161">
        <v>57</v>
      </c>
      <c r="BA44" s="161">
        <v>36</v>
      </c>
      <c r="BB44" s="83"/>
      <c r="BG44" s="3"/>
    </row>
    <row r="45" spans="1:54" ht="12.75" customHeight="1">
      <c r="A45" s="266"/>
      <c r="B45" s="144"/>
      <c r="C45" s="237"/>
      <c r="D45" s="30"/>
      <c r="E45" s="617"/>
      <c r="F45" s="467"/>
      <c r="G45" s="467"/>
      <c r="H45" s="467"/>
      <c r="I45" s="443"/>
      <c r="J45" s="467"/>
      <c r="K45" s="467"/>
      <c r="L45" s="467"/>
      <c r="M45" s="443"/>
      <c r="N45" s="467"/>
      <c r="O45" s="467"/>
      <c r="P45" s="467"/>
      <c r="Q45" s="443"/>
      <c r="R45" s="467"/>
      <c r="S45" s="467"/>
      <c r="T45" s="467"/>
      <c r="U45" s="443"/>
      <c r="V45" s="467"/>
      <c r="W45" s="467"/>
      <c r="X45" s="467"/>
      <c r="Y45" s="443"/>
      <c r="Z45" s="467"/>
      <c r="AA45" s="467"/>
      <c r="AB45" s="467"/>
      <c r="AC45" s="443"/>
      <c r="AD45" s="380"/>
      <c r="AE45" s="380"/>
      <c r="AF45" s="380"/>
      <c r="AG45" s="424"/>
      <c r="AH45" s="179"/>
      <c r="AI45" s="424"/>
      <c r="AJ45" s="424"/>
      <c r="AK45" s="424" t="s">
        <v>46</v>
      </c>
      <c r="AL45" s="304"/>
      <c r="AM45" s="379"/>
      <c r="AN45" s="276"/>
      <c r="AO45" s="234"/>
      <c r="AP45" s="30"/>
      <c r="AQ45" s="276"/>
      <c r="AR45" s="201"/>
      <c r="AS45" s="201"/>
      <c r="AT45" s="201"/>
      <c r="AU45" s="201"/>
      <c r="AV45" s="201"/>
      <c r="AW45" s="179"/>
      <c r="AX45" s="179"/>
      <c r="AY45" s="161"/>
      <c r="AZ45" s="161"/>
      <c r="BA45" s="161"/>
      <c r="BB45" s="83"/>
    </row>
    <row r="46" spans="1:54" ht="27" customHeight="1">
      <c r="A46" s="1464" t="s">
        <v>392</v>
      </c>
      <c r="B46" s="1465"/>
      <c r="C46" s="441"/>
      <c r="D46" s="30"/>
      <c r="E46" s="203"/>
      <c r="F46" s="467"/>
      <c r="G46" s="467"/>
      <c r="H46" s="276"/>
      <c r="I46" s="443"/>
      <c r="J46" s="467"/>
      <c r="K46" s="467"/>
      <c r="L46" s="276"/>
      <c r="M46" s="443"/>
      <c r="N46" s="467"/>
      <c r="O46" s="276"/>
      <c r="P46" s="276"/>
      <c r="Q46" s="443"/>
      <c r="R46" s="276"/>
      <c r="S46" s="276"/>
      <c r="T46" s="276"/>
      <c r="U46" s="443"/>
      <c r="V46" s="276"/>
      <c r="W46" s="276"/>
      <c r="X46" s="276"/>
      <c r="Y46" s="443"/>
      <c r="Z46" s="276"/>
      <c r="AA46" s="276"/>
      <c r="AB46" s="276"/>
      <c r="AC46" s="443"/>
      <c r="AD46" s="380"/>
      <c r="AE46" s="380"/>
      <c r="AF46" s="380"/>
      <c r="AG46" s="424"/>
      <c r="AH46" s="179"/>
      <c r="AI46" s="424"/>
      <c r="AJ46" s="424"/>
      <c r="AK46" s="424"/>
      <c r="AL46" s="304"/>
      <c r="AM46" s="379"/>
      <c r="AN46" s="276"/>
      <c r="AO46" s="234"/>
      <c r="AP46" s="30"/>
      <c r="AQ46" s="276"/>
      <c r="AR46" s="201"/>
      <c r="AS46" s="201"/>
      <c r="AT46" s="201"/>
      <c r="AU46" s="201"/>
      <c r="AV46" s="201"/>
      <c r="AW46" s="179"/>
      <c r="AX46" s="179"/>
      <c r="AY46" s="161"/>
      <c r="AZ46" s="161"/>
      <c r="BA46" s="161"/>
      <c r="BB46" s="83"/>
    </row>
    <row r="47" spans="1:54" ht="12.75">
      <c r="A47" s="266"/>
      <c r="B47" s="144" t="s">
        <v>127</v>
      </c>
      <c r="C47" s="586">
        <v>0</v>
      </c>
      <c r="D47" s="30">
        <v>0</v>
      </c>
      <c r="E47" s="89"/>
      <c r="F47" s="789"/>
      <c r="G47" s="153">
        <v>0</v>
      </c>
      <c r="H47" s="851">
        <v>0</v>
      </c>
      <c r="I47" s="853">
        <v>0</v>
      </c>
      <c r="J47" s="38">
        <v>0</v>
      </c>
      <c r="K47" s="153">
        <v>0</v>
      </c>
      <c r="L47" s="254">
        <v>0</v>
      </c>
      <c r="M47" s="852">
        <v>0</v>
      </c>
      <c r="N47" s="853">
        <v>0</v>
      </c>
      <c r="O47" s="380">
        <v>2</v>
      </c>
      <c r="P47" s="621">
        <v>2</v>
      </c>
      <c r="Q47" s="618">
        <v>1</v>
      </c>
      <c r="R47" s="380">
        <v>1</v>
      </c>
      <c r="S47" s="380">
        <v>1</v>
      </c>
      <c r="T47" s="621">
        <v>1</v>
      </c>
      <c r="U47" s="618">
        <v>1</v>
      </c>
      <c r="V47" s="380">
        <v>1</v>
      </c>
      <c r="W47" s="620">
        <v>0</v>
      </c>
      <c r="X47" s="620">
        <v>0</v>
      </c>
      <c r="Y47" s="620">
        <v>0</v>
      </c>
      <c r="Z47" s="596">
        <v>0</v>
      </c>
      <c r="AA47" s="619">
        <v>0</v>
      </c>
      <c r="AB47" s="619">
        <v>0</v>
      </c>
      <c r="AC47" s="30">
        <v>0</v>
      </c>
      <c r="AD47" s="380">
        <v>1</v>
      </c>
      <c r="AE47" s="380">
        <v>1</v>
      </c>
      <c r="AF47" s="380">
        <v>0</v>
      </c>
      <c r="AG47" s="424">
        <v>1</v>
      </c>
      <c r="AH47" s="161">
        <v>0</v>
      </c>
      <c r="AI47" s="424">
        <v>1</v>
      </c>
      <c r="AJ47" s="424">
        <v>1</v>
      </c>
      <c r="AK47" s="424">
        <v>1</v>
      </c>
      <c r="AL47" s="179"/>
      <c r="AM47" s="379">
        <v>0</v>
      </c>
      <c r="AN47" s="276">
        <v>1</v>
      </c>
      <c r="AO47" s="234">
        <v>-1</v>
      </c>
      <c r="AP47" s="30" t="s">
        <v>44</v>
      </c>
      <c r="AQ47" s="380"/>
      <c r="AR47" s="910">
        <v>0</v>
      </c>
      <c r="AS47" s="853">
        <v>0</v>
      </c>
      <c r="AT47" s="201">
        <v>1</v>
      </c>
      <c r="AU47" s="201">
        <v>1</v>
      </c>
      <c r="AV47" s="765">
        <v>0</v>
      </c>
      <c r="AW47" s="662">
        <v>1</v>
      </c>
      <c r="AX47" s="179">
        <v>0</v>
      </c>
      <c r="AY47" s="161">
        <v>1</v>
      </c>
      <c r="AZ47" s="161">
        <v>4</v>
      </c>
      <c r="BA47" s="161">
        <v>3</v>
      </c>
      <c r="BB47" s="83"/>
    </row>
    <row r="48" spans="1:54" ht="12.75">
      <c r="A48" s="266"/>
      <c r="B48" s="144" t="s">
        <v>128</v>
      </c>
      <c r="C48" s="237">
        <v>-14</v>
      </c>
      <c r="D48" s="30">
        <v>-0.28</v>
      </c>
      <c r="E48" s="89"/>
      <c r="F48" s="466"/>
      <c r="G48" s="466">
        <v>36</v>
      </c>
      <c r="H48" s="380">
        <v>40</v>
      </c>
      <c r="I48" s="424">
        <v>43</v>
      </c>
      <c r="J48" s="466">
        <v>45</v>
      </c>
      <c r="K48" s="466">
        <v>50</v>
      </c>
      <c r="L48" s="380">
        <v>52</v>
      </c>
      <c r="M48" s="424">
        <v>53</v>
      </c>
      <c r="N48" s="466">
        <v>62</v>
      </c>
      <c r="O48" s="380">
        <v>35</v>
      </c>
      <c r="P48" s="380">
        <v>32</v>
      </c>
      <c r="Q48" s="424">
        <v>31</v>
      </c>
      <c r="R48" s="380">
        <v>30</v>
      </c>
      <c r="S48" s="380">
        <v>29</v>
      </c>
      <c r="T48" s="380">
        <v>30</v>
      </c>
      <c r="U48" s="424">
        <v>32</v>
      </c>
      <c r="V48" s="380">
        <v>35</v>
      </c>
      <c r="W48" s="380">
        <v>37</v>
      </c>
      <c r="X48" s="380">
        <v>36</v>
      </c>
      <c r="Y48" s="424">
        <v>41</v>
      </c>
      <c r="Z48" s="380">
        <v>42</v>
      </c>
      <c r="AA48" s="380">
        <v>46</v>
      </c>
      <c r="AB48" s="380">
        <v>45</v>
      </c>
      <c r="AC48" s="424">
        <v>48</v>
      </c>
      <c r="AD48" s="380">
        <v>51</v>
      </c>
      <c r="AE48" s="380">
        <v>50</v>
      </c>
      <c r="AF48" s="380">
        <v>51</v>
      </c>
      <c r="AG48" s="424">
        <v>49</v>
      </c>
      <c r="AH48" s="179">
        <v>50</v>
      </c>
      <c r="AI48" s="424">
        <v>51</v>
      </c>
      <c r="AJ48" s="424">
        <v>52</v>
      </c>
      <c r="AK48" s="424">
        <v>55</v>
      </c>
      <c r="AL48" s="179"/>
      <c r="AM48" s="379">
        <v>42</v>
      </c>
      <c r="AN48" s="276">
        <v>51</v>
      </c>
      <c r="AO48" s="234">
        <v>-9</v>
      </c>
      <c r="AP48" s="30">
        <v>-0.17647058823529413</v>
      </c>
      <c r="AQ48" s="180"/>
      <c r="AR48" s="201">
        <v>45</v>
      </c>
      <c r="AS48" s="201">
        <v>62</v>
      </c>
      <c r="AT48" s="201">
        <v>30</v>
      </c>
      <c r="AU48" s="201">
        <v>35</v>
      </c>
      <c r="AV48" s="201">
        <v>42</v>
      </c>
      <c r="AW48" s="179">
        <v>51</v>
      </c>
      <c r="AX48" s="179">
        <v>50</v>
      </c>
      <c r="AY48" s="161">
        <v>49</v>
      </c>
      <c r="AZ48" s="161">
        <v>47</v>
      </c>
      <c r="BA48" s="161">
        <v>24</v>
      </c>
      <c r="BB48" s="83"/>
    </row>
    <row r="49" spans="1:54" ht="12.75">
      <c r="A49" s="144"/>
      <c r="B49" s="144" t="s">
        <v>245</v>
      </c>
      <c r="C49" s="237">
        <v>-14</v>
      </c>
      <c r="D49" s="30">
        <v>-0.28</v>
      </c>
      <c r="E49" s="89"/>
      <c r="F49" s="466"/>
      <c r="G49" s="466">
        <v>36</v>
      </c>
      <c r="H49" s="380">
        <v>40</v>
      </c>
      <c r="I49" s="424">
        <v>43</v>
      </c>
      <c r="J49" s="466">
        <v>45</v>
      </c>
      <c r="K49" s="466">
        <v>50</v>
      </c>
      <c r="L49" s="380">
        <v>52</v>
      </c>
      <c r="M49" s="424">
        <v>53</v>
      </c>
      <c r="N49" s="466">
        <v>62</v>
      </c>
      <c r="O49" s="380">
        <v>37</v>
      </c>
      <c r="P49" s="380">
        <v>34</v>
      </c>
      <c r="Q49" s="424">
        <v>32</v>
      </c>
      <c r="R49" s="380">
        <v>31</v>
      </c>
      <c r="S49" s="380">
        <v>30</v>
      </c>
      <c r="T49" s="380">
        <v>31</v>
      </c>
      <c r="U49" s="424">
        <v>33</v>
      </c>
      <c r="V49" s="380">
        <v>36</v>
      </c>
      <c r="W49" s="380">
        <v>37</v>
      </c>
      <c r="X49" s="380">
        <v>36</v>
      </c>
      <c r="Y49" s="424">
        <v>41</v>
      </c>
      <c r="Z49" s="380">
        <v>42</v>
      </c>
      <c r="AA49" s="380">
        <v>46</v>
      </c>
      <c r="AB49" s="380">
        <v>45</v>
      </c>
      <c r="AC49" s="424">
        <v>48</v>
      </c>
      <c r="AD49" s="380">
        <v>52</v>
      </c>
      <c r="AE49" s="380">
        <v>51</v>
      </c>
      <c r="AF49" s="380">
        <v>51</v>
      </c>
      <c r="AG49" s="424">
        <v>50</v>
      </c>
      <c r="AH49" s="179">
        <v>50</v>
      </c>
      <c r="AI49" s="424">
        <v>52</v>
      </c>
      <c r="AJ49" s="424">
        <v>53</v>
      </c>
      <c r="AK49" s="424">
        <v>56</v>
      </c>
      <c r="AL49" s="179"/>
      <c r="AM49" s="379">
        <v>42</v>
      </c>
      <c r="AN49" s="276">
        <v>52</v>
      </c>
      <c r="AO49" s="234">
        <v>-10</v>
      </c>
      <c r="AP49" s="30">
        <v>-0.19230769230769232</v>
      </c>
      <c r="AQ49" s="180"/>
      <c r="AR49" s="201">
        <v>45</v>
      </c>
      <c r="AS49" s="201">
        <v>62</v>
      </c>
      <c r="AT49" s="201">
        <v>31</v>
      </c>
      <c r="AU49" s="201">
        <v>36</v>
      </c>
      <c r="AV49" s="238">
        <v>42</v>
      </c>
      <c r="AW49" s="179">
        <v>52</v>
      </c>
      <c r="AX49" s="179">
        <v>50</v>
      </c>
      <c r="AY49" s="161">
        <v>50</v>
      </c>
      <c r="AZ49" s="161">
        <v>51</v>
      </c>
      <c r="BA49" s="161">
        <v>27</v>
      </c>
      <c r="BB49" s="83"/>
    </row>
    <row r="50" spans="1:54" ht="12.75">
      <c r="A50" s="104"/>
      <c r="B50" s="104"/>
      <c r="C50" s="377"/>
      <c r="D50" s="423"/>
      <c r="E50" s="89"/>
      <c r="F50" s="468"/>
      <c r="G50" s="468"/>
      <c r="H50" s="468"/>
      <c r="I50" s="426"/>
      <c r="J50" s="468"/>
      <c r="K50" s="468"/>
      <c r="L50" s="468"/>
      <c r="M50" s="426"/>
      <c r="N50" s="468"/>
      <c r="O50" s="468"/>
      <c r="P50" s="468"/>
      <c r="Q50" s="426"/>
      <c r="R50" s="468"/>
      <c r="S50" s="468"/>
      <c r="T50" s="468"/>
      <c r="U50" s="426"/>
      <c r="V50" s="468"/>
      <c r="W50" s="468"/>
      <c r="X50" s="468"/>
      <c r="Y50" s="426"/>
      <c r="Z50" s="468"/>
      <c r="AA50" s="468"/>
      <c r="AB50" s="468"/>
      <c r="AC50" s="426"/>
      <c r="AD50" s="388"/>
      <c r="AE50" s="388"/>
      <c r="AF50" s="388"/>
      <c r="AG50" s="426"/>
      <c r="AH50" s="198"/>
      <c r="AI50" s="426"/>
      <c r="AJ50" s="426"/>
      <c r="AK50" s="427"/>
      <c r="AL50" s="179"/>
      <c r="AM50" s="229"/>
      <c r="AN50" s="388"/>
      <c r="AO50" s="388"/>
      <c r="AP50" s="445"/>
      <c r="AQ50" s="180"/>
      <c r="AR50" s="23"/>
      <c r="AS50" s="23"/>
      <c r="AT50" s="23"/>
      <c r="AU50" s="23"/>
      <c r="AV50" s="198"/>
      <c r="AW50" s="428"/>
      <c r="AX50" s="198"/>
      <c r="AY50" s="428"/>
      <c r="AZ50" s="428"/>
      <c r="BA50" s="428"/>
      <c r="BB50" s="83"/>
    </row>
    <row r="51" spans="1:50" ht="14.25">
      <c r="A51" s="144" t="s">
        <v>311</v>
      </c>
      <c r="B51" s="141"/>
      <c r="C51" s="3"/>
      <c r="D51" s="3"/>
      <c r="AC51" s="3"/>
      <c r="AD51" s="3"/>
      <c r="AE51" s="3"/>
      <c r="AF51" s="3"/>
      <c r="AG51" s="3"/>
      <c r="AH51" s="3"/>
      <c r="AI51" s="3"/>
      <c r="AJ51" s="3"/>
      <c r="AK51" s="11"/>
      <c r="AL51" s="3"/>
      <c r="AM51" s="3"/>
      <c r="AN51" s="3"/>
      <c r="AO51" s="3"/>
      <c r="AP51" s="3"/>
      <c r="AR51" s="3"/>
      <c r="AS51" s="3"/>
      <c r="AT51" s="3"/>
      <c r="AU51" s="3"/>
      <c r="AV51" s="3"/>
      <c r="AW51" s="32"/>
      <c r="AX51" s="3"/>
    </row>
    <row r="52" spans="2:50" ht="12.75">
      <c r="B52" s="269"/>
      <c r="I52"/>
      <c r="M52"/>
      <c r="Q52"/>
      <c r="U52"/>
      <c r="Y52"/>
      <c r="AK52" s="33"/>
      <c r="AL52" s="3"/>
      <c r="AM52" s="3"/>
      <c r="AN52" s="3"/>
      <c r="AW52" s="2"/>
      <c r="AX52" s="2"/>
    </row>
    <row r="53" spans="1:50" ht="12.75">
      <c r="A53" s="7" t="s">
        <v>405</v>
      </c>
      <c r="I53" s="665"/>
      <c r="M53" s="665"/>
      <c r="Q53" s="665"/>
      <c r="U53"/>
      <c r="Y53"/>
      <c r="AK53" s="152"/>
      <c r="AL53" s="3"/>
      <c r="AM53" s="3"/>
      <c r="AN53" s="3"/>
      <c r="AW53" s="2"/>
      <c r="AX53" s="2"/>
    </row>
    <row r="54" spans="3:50" ht="12.75">
      <c r="C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K54" s="2"/>
      <c r="AL54" s="3"/>
      <c r="AM54" s="3"/>
      <c r="AN54" s="3"/>
      <c r="AW54" s="51"/>
      <c r="AX54" s="51"/>
    </row>
    <row r="55" spans="7:50" ht="12.75">
      <c r="G55" s="595"/>
      <c r="K55" s="595"/>
      <c r="AC55" s="3"/>
      <c r="AD55" s="3"/>
      <c r="AH55" s="3"/>
      <c r="AK55" s="1"/>
      <c r="AL55" s="3"/>
      <c r="AM55" s="3"/>
      <c r="AN55" s="3"/>
      <c r="AW55" s="51"/>
      <c r="AX55" s="51"/>
    </row>
    <row r="56" spans="9:50" ht="12.75">
      <c r="I56"/>
      <c r="M56"/>
      <c r="Q56"/>
      <c r="U56"/>
      <c r="Y56"/>
      <c r="AK56" s="32"/>
      <c r="AL56" s="3"/>
      <c r="AM56" s="3"/>
      <c r="AN56" s="3"/>
      <c r="AW56" s="52"/>
      <c r="AX56" s="52"/>
    </row>
    <row r="57" spans="8:50" ht="12.75">
      <c r="H57" s="457"/>
      <c r="I57"/>
      <c r="L57" s="457"/>
      <c r="M57"/>
      <c r="P57" s="457"/>
      <c r="Q57"/>
      <c r="T57" s="457"/>
      <c r="U57"/>
      <c r="X57" s="457"/>
      <c r="Y57"/>
      <c r="AB57" s="457"/>
      <c r="AK57" s="47"/>
      <c r="AL57" s="3"/>
      <c r="AM57" s="3"/>
      <c r="AN57" s="3"/>
      <c r="AW57" s="53"/>
      <c r="AX57" s="53"/>
    </row>
    <row r="58" spans="9:50" ht="12.75">
      <c r="I58"/>
      <c r="M58"/>
      <c r="Q58"/>
      <c r="U58"/>
      <c r="Y58"/>
      <c r="AK58" s="47"/>
      <c r="AL58" s="3"/>
      <c r="AM58" s="3"/>
      <c r="AN58" s="3"/>
      <c r="AW58" s="35"/>
      <c r="AX58" s="35"/>
    </row>
    <row r="59" spans="9:50" ht="12.75">
      <c r="I59"/>
      <c r="M59"/>
      <c r="Q59"/>
      <c r="U59"/>
      <c r="Y59"/>
      <c r="AK59" s="41"/>
      <c r="AL59" s="3"/>
      <c r="AM59" s="3"/>
      <c r="AN59" s="3"/>
      <c r="AW59" s="35"/>
      <c r="AX59" s="35"/>
    </row>
    <row r="60" spans="9:50" ht="12.75">
      <c r="I60"/>
      <c r="M60"/>
      <c r="Q60"/>
      <c r="U60"/>
      <c r="Y60"/>
      <c r="AK60" s="35"/>
      <c r="AL60" s="3"/>
      <c r="AM60" s="3"/>
      <c r="AN60" s="3"/>
      <c r="AW60" s="36"/>
      <c r="AX60" s="36"/>
    </row>
    <row r="61" spans="9:50" ht="12.75">
      <c r="I61"/>
      <c r="M61"/>
      <c r="Q61"/>
      <c r="U61"/>
      <c r="Y61"/>
      <c r="AK61" s="36"/>
      <c r="AL61" s="3"/>
      <c r="AM61" s="3"/>
      <c r="AN61" s="3"/>
      <c r="AW61" s="36"/>
      <c r="AX61" s="36"/>
    </row>
    <row r="62" spans="9:50" ht="12.75">
      <c r="I62"/>
      <c r="M62"/>
      <c r="Q62"/>
      <c r="U62"/>
      <c r="Y62"/>
      <c r="AK62" s="36"/>
      <c r="AL62" s="3"/>
      <c r="AM62" s="3"/>
      <c r="AN62" s="3"/>
      <c r="AW62" s="3"/>
      <c r="AX62" s="3"/>
    </row>
    <row r="63" spans="9:50" ht="12.75">
      <c r="I63"/>
      <c r="M63"/>
      <c r="Q63"/>
      <c r="U63"/>
      <c r="Y63"/>
      <c r="AK63" s="3"/>
      <c r="AL63" s="3"/>
      <c r="AM63" s="3"/>
      <c r="AN63" s="3"/>
      <c r="AW63" s="3"/>
      <c r="AX63" s="3"/>
    </row>
    <row r="64" spans="9:50" ht="12.75">
      <c r="I64"/>
      <c r="M64"/>
      <c r="Q64"/>
      <c r="U64"/>
      <c r="Y64"/>
      <c r="AK64" s="3"/>
      <c r="AL64" s="3"/>
      <c r="AM64" s="3"/>
      <c r="AN64" s="3"/>
      <c r="AW64" s="3"/>
      <c r="AX64" s="3"/>
    </row>
    <row r="65" spans="9:50" ht="12.75">
      <c r="I65"/>
      <c r="M65"/>
      <c r="Q65"/>
      <c r="U65"/>
      <c r="Y65"/>
      <c r="AK65" s="3"/>
      <c r="AL65" s="3"/>
      <c r="AM65" s="3"/>
      <c r="AN65" s="3"/>
      <c r="AW65" s="3"/>
      <c r="AX65" s="3"/>
    </row>
    <row r="66" spans="9:50" ht="12.75">
      <c r="I66"/>
      <c r="M66"/>
      <c r="Q66"/>
      <c r="U66"/>
      <c r="Y66"/>
      <c r="AK66" s="3"/>
      <c r="AL66" s="3"/>
      <c r="AM66" s="3"/>
      <c r="AN66" s="3"/>
      <c r="AW66" s="3"/>
      <c r="AX66" s="3"/>
    </row>
    <row r="67" spans="9:40" ht="12.75">
      <c r="I67"/>
      <c r="M67"/>
      <c r="Q67"/>
      <c r="U67"/>
      <c r="Y67"/>
      <c r="AK67" s="3"/>
      <c r="AL67" s="3"/>
      <c r="AM67" s="3"/>
      <c r="AN67" s="3"/>
    </row>
    <row r="68" spans="9:25" ht="12.75">
      <c r="I68"/>
      <c r="M68"/>
      <c r="Q68"/>
      <c r="U68"/>
      <c r="Y68"/>
    </row>
    <row r="69" spans="9:25" ht="12.75">
      <c r="I69"/>
      <c r="M69"/>
      <c r="Q69"/>
      <c r="U69"/>
      <c r="Y69"/>
    </row>
    <row r="70" spans="9:25" ht="12.75">
      <c r="I70"/>
      <c r="M70"/>
      <c r="Q70"/>
      <c r="U70"/>
      <c r="Y70"/>
    </row>
    <row r="71" spans="9:25" ht="12.75">
      <c r="I71"/>
      <c r="M71"/>
      <c r="Q71"/>
      <c r="U71"/>
      <c r="Y71"/>
    </row>
    <row r="72" spans="9:25" ht="12.75">
      <c r="I72"/>
      <c r="M72"/>
      <c r="Q72"/>
      <c r="U72"/>
      <c r="Y72"/>
    </row>
    <row r="73" spans="9:25" ht="12.75">
      <c r="I73"/>
      <c r="M73"/>
      <c r="Q73"/>
      <c r="U73"/>
      <c r="Y73"/>
    </row>
    <row r="74" spans="9:25" ht="12.75">
      <c r="I74"/>
      <c r="M74"/>
      <c r="Q74"/>
      <c r="U74"/>
      <c r="Y74"/>
    </row>
    <row r="75" spans="9:25" ht="12.75">
      <c r="I75"/>
      <c r="M75"/>
      <c r="Q75"/>
      <c r="U75"/>
      <c r="Y75"/>
    </row>
    <row r="76" spans="9:25" ht="12.75">
      <c r="I76"/>
      <c r="M76"/>
      <c r="Q76"/>
      <c r="U76"/>
      <c r="Y76"/>
    </row>
    <row r="77" spans="9:25" ht="12.75">
      <c r="I77"/>
      <c r="M77"/>
      <c r="Q77"/>
      <c r="U77"/>
      <c r="Y77"/>
    </row>
  </sheetData>
  <sheetProtection/>
  <mergeCells count="7">
    <mergeCell ref="AO9:AP9"/>
    <mergeCell ref="A41:B41"/>
    <mergeCell ref="A46:B46"/>
    <mergeCell ref="C9:D9"/>
    <mergeCell ref="AM8:AP8"/>
    <mergeCell ref="C8:D8"/>
    <mergeCell ref="A32:B32"/>
  </mergeCells>
  <conditionalFormatting sqref="A44:B44 AC40:AC41 Z39:AB42 AQ39:AQ42 Y40:Y41 O36:X36 AQ36 Z36:AB36 AL36 AL39:AL42 A36:A38 N36:N37 N39:X42 E36:E42 J36:M42">
    <cfRule type="cellIs" priority="2" dxfId="0" operator="equal" stopIfTrue="1">
      <formula>0</formula>
    </cfRule>
  </conditionalFormatting>
  <conditionalFormatting sqref="F36:I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12</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AK50"/>
  <sheetViews>
    <sheetView zoomScale="80" zoomScaleNormal="80" zoomScaleSheetLayoutView="80" workbookViewId="0" topLeftCell="A1">
      <selection activeCell="A1" sqref="A1"/>
    </sheetView>
  </sheetViews>
  <sheetFormatPr defaultColWidth="9.140625" defaultRowHeight="12.75"/>
  <cols>
    <col min="1" max="1" width="5.00390625" style="130" customWidth="1"/>
    <col min="2" max="2" width="2.7109375" style="131" customWidth="1"/>
    <col min="3" max="3" width="1.7109375" style="131" customWidth="1"/>
    <col min="4" max="10" width="23.28125" style="131" customWidth="1"/>
    <col min="11" max="11" width="26.8515625" style="131" customWidth="1"/>
    <col min="12" max="12" width="38.140625" style="131" customWidth="1"/>
    <col min="13" max="15" width="10.00390625" style="131" customWidth="1"/>
    <col min="16" max="17" width="23.28125" style="131" customWidth="1"/>
    <col min="18" max="18" width="20.57421875" style="131" bestFit="1" customWidth="1"/>
    <col min="19" max="19" width="16.00390625" style="131" customWidth="1"/>
    <col min="20" max="20" width="12.140625" style="131" customWidth="1"/>
    <col min="21" max="21" width="14.57421875" style="133" bestFit="1" customWidth="1"/>
    <col min="22" max="22" width="1.7109375" style="131" customWidth="1"/>
    <col min="23" max="23" width="2.7109375" style="131" customWidth="1"/>
    <col min="24" max="16384" width="9.140625" style="131" customWidth="1"/>
  </cols>
  <sheetData>
    <row r="1" ht="12.75"/>
    <row r="2" ht="20.25">
      <c r="E2" s="132"/>
    </row>
    <row r="3" ht="12.75"/>
    <row r="4" ht="12.75"/>
    <row r="5" spans="2:22" ht="15">
      <c r="B5" s="134" t="s">
        <v>61</v>
      </c>
      <c r="C5" s="115"/>
      <c r="D5" s="115"/>
      <c r="E5" s="115"/>
      <c r="F5" s="115"/>
      <c r="G5" s="115"/>
      <c r="H5" s="115"/>
      <c r="I5" s="115"/>
      <c r="J5" s="115"/>
      <c r="K5" s="115"/>
      <c r="L5" s="115"/>
      <c r="M5" s="123"/>
      <c r="V5" s="115"/>
    </row>
    <row r="6" spans="2:22" ht="15">
      <c r="B6" s="134" t="s">
        <v>62</v>
      </c>
      <c r="C6" s="115"/>
      <c r="D6" s="115"/>
      <c r="E6" s="115"/>
      <c r="F6" s="115"/>
      <c r="G6" s="115"/>
      <c r="H6" s="115"/>
      <c r="I6" s="115"/>
      <c r="J6" s="115"/>
      <c r="K6" s="115"/>
      <c r="L6" s="129"/>
      <c r="M6" s="123"/>
      <c r="P6" s="123"/>
      <c r="V6" s="115"/>
    </row>
    <row r="7" spans="3:22" ht="12.75">
      <c r="C7" s="115"/>
      <c r="D7" s="115"/>
      <c r="E7" s="115"/>
      <c r="F7" s="115"/>
      <c r="G7" s="115"/>
      <c r="H7" s="115"/>
      <c r="I7" s="115"/>
      <c r="J7" s="115"/>
      <c r="K7" s="115"/>
      <c r="L7" s="129"/>
      <c r="M7" s="115"/>
      <c r="P7" s="115"/>
      <c r="V7" s="115"/>
    </row>
    <row r="8" spans="1:35" ht="18" customHeight="1">
      <c r="A8" s="135">
        <v>-1</v>
      </c>
      <c r="B8" s="787" t="s">
        <v>355</v>
      </c>
      <c r="C8" s="787"/>
      <c r="D8" s="787"/>
      <c r="E8" s="787"/>
      <c r="F8" s="787"/>
      <c r="G8" s="787"/>
      <c r="H8" s="787"/>
      <c r="I8" s="787"/>
      <c r="J8" s="787"/>
      <c r="K8" s="787"/>
      <c r="L8" s="787"/>
      <c r="M8" s="99"/>
      <c r="N8" s="99"/>
      <c r="O8" s="99"/>
      <c r="P8" s="99"/>
      <c r="Q8" s="99"/>
      <c r="R8" s="99"/>
      <c r="S8" s="99"/>
      <c r="T8" s="99"/>
      <c r="U8" s="99"/>
      <c r="V8" s="99"/>
      <c r="W8" s="99"/>
      <c r="X8" s="99"/>
      <c r="Y8" s="99"/>
      <c r="Z8" s="99"/>
      <c r="AA8" s="99"/>
      <c r="AB8" s="99"/>
      <c r="AC8" s="99"/>
      <c r="AD8" s="99"/>
      <c r="AE8" s="99"/>
      <c r="AF8" s="99"/>
      <c r="AG8" s="99"/>
      <c r="AH8" s="99"/>
      <c r="AI8" s="99"/>
    </row>
    <row r="9" spans="1:35" ht="18" customHeight="1">
      <c r="A9" s="135"/>
      <c r="B9" s="787" t="s">
        <v>396</v>
      </c>
      <c r="C9" s="787"/>
      <c r="D9" s="787"/>
      <c r="E9" s="787"/>
      <c r="F9" s="787"/>
      <c r="G9" s="787"/>
      <c r="H9" s="787"/>
      <c r="I9" s="787"/>
      <c r="J9" s="787"/>
      <c r="K9" s="787"/>
      <c r="L9" s="787"/>
      <c r="M9" s="99"/>
      <c r="N9" s="99"/>
      <c r="O9" s="99"/>
      <c r="P9" s="99"/>
      <c r="Q9" s="99"/>
      <c r="R9" s="99"/>
      <c r="S9" s="99"/>
      <c r="T9" s="99"/>
      <c r="U9" s="99"/>
      <c r="V9" s="99"/>
      <c r="W9" s="99"/>
      <c r="X9" s="99"/>
      <c r="Y9" s="99"/>
      <c r="Z9" s="99"/>
      <c r="AA9" s="99"/>
      <c r="AB9" s="99"/>
      <c r="AC9" s="99"/>
      <c r="AD9" s="99"/>
      <c r="AE9" s="99"/>
      <c r="AF9" s="99"/>
      <c r="AG9" s="99"/>
      <c r="AH9" s="99"/>
      <c r="AI9" s="99"/>
    </row>
    <row r="10" spans="1:35" s="139" customFormat="1" ht="17.25" customHeight="1">
      <c r="A10" s="135">
        <v>-2</v>
      </c>
      <c r="B10" s="141" t="s">
        <v>486</v>
      </c>
      <c r="L10" s="787"/>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793"/>
    </row>
    <row r="11" spans="1:35" s="139" customFormat="1" ht="16.5" customHeight="1">
      <c r="A11" s="135"/>
      <c r="B11" s="838" t="s">
        <v>487</v>
      </c>
      <c r="L11" s="787"/>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793"/>
    </row>
    <row r="12" spans="1:35" s="139" customFormat="1" ht="15.75" customHeight="1">
      <c r="A12" s="135"/>
      <c r="B12" s="141" t="s">
        <v>384</v>
      </c>
      <c r="L12" s="787"/>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793"/>
    </row>
    <row r="13" spans="1:35" ht="18" customHeight="1">
      <c r="A13" s="135">
        <v>-3</v>
      </c>
      <c r="B13" s="1470" t="s">
        <v>397</v>
      </c>
      <c r="C13" s="1470"/>
      <c r="D13" s="1470"/>
      <c r="E13" s="1470"/>
      <c r="F13" s="1470"/>
      <c r="G13" s="1470"/>
      <c r="H13" s="1470"/>
      <c r="I13" s="1470"/>
      <c r="J13" s="1470"/>
      <c r="K13" s="1470"/>
      <c r="L13" s="1470"/>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8"/>
    </row>
    <row r="14" spans="1:35" ht="30" customHeight="1">
      <c r="A14" s="751">
        <v>-4</v>
      </c>
      <c r="B14" s="1470" t="s">
        <v>490</v>
      </c>
      <c r="C14" s="1470"/>
      <c r="D14" s="1470"/>
      <c r="E14" s="1470"/>
      <c r="F14" s="1470"/>
      <c r="G14" s="1470"/>
      <c r="H14" s="1470"/>
      <c r="I14" s="1470"/>
      <c r="J14" s="1470"/>
      <c r="K14" s="1470"/>
      <c r="L14" s="1470"/>
      <c r="M14" s="99"/>
      <c r="N14" s="99"/>
      <c r="O14" s="99"/>
      <c r="P14" s="99"/>
      <c r="Q14" s="99"/>
      <c r="R14" s="99"/>
      <c r="S14" s="99"/>
      <c r="T14" s="99"/>
      <c r="U14" s="99"/>
      <c r="V14" s="99"/>
      <c r="W14" s="99"/>
      <c r="X14" s="99"/>
      <c r="Y14" s="99"/>
      <c r="Z14" s="99"/>
      <c r="AA14" s="99"/>
      <c r="AB14" s="99"/>
      <c r="AC14" s="99"/>
      <c r="AD14" s="99"/>
      <c r="AE14" s="99"/>
      <c r="AF14" s="99"/>
      <c r="AG14" s="99"/>
      <c r="AH14" s="99"/>
      <c r="AI14" s="99"/>
    </row>
    <row r="15" spans="1:35" ht="18" customHeight="1">
      <c r="A15" s="135">
        <v>-5</v>
      </c>
      <c r="B15" s="1470" t="s">
        <v>494</v>
      </c>
      <c r="C15" s="1470"/>
      <c r="D15" s="1470"/>
      <c r="E15" s="1470"/>
      <c r="F15" s="1470"/>
      <c r="G15" s="1470"/>
      <c r="H15" s="1470"/>
      <c r="I15" s="1470"/>
      <c r="J15" s="1470"/>
      <c r="K15" s="1470"/>
      <c r="L15" s="1470"/>
      <c r="M15" s="1411"/>
      <c r="N15" s="1411"/>
      <c r="O15" s="1411"/>
      <c r="P15" s="1411"/>
      <c r="Q15" s="1411"/>
      <c r="R15" s="1411"/>
      <c r="S15" s="1411"/>
      <c r="T15" s="1411"/>
      <c r="U15" s="1411"/>
      <c r="V15" s="1411"/>
      <c r="W15" s="1411"/>
      <c r="X15" s="1411"/>
      <c r="Y15" s="1411"/>
      <c r="Z15" s="1411"/>
      <c r="AA15" s="1411"/>
      <c r="AB15" s="1411"/>
      <c r="AC15" s="1411"/>
      <c r="AD15" s="1411"/>
      <c r="AE15" s="1411"/>
      <c r="AF15" s="1411"/>
      <c r="AG15" s="1411"/>
      <c r="AH15" s="1411"/>
      <c r="AI15" s="1411"/>
    </row>
    <row r="16" spans="1:35" ht="18" customHeight="1">
      <c r="A16" s="135">
        <v>-6</v>
      </c>
      <c r="B16" s="1470" t="s">
        <v>495</v>
      </c>
      <c r="C16" s="1470"/>
      <c r="D16" s="1470"/>
      <c r="E16" s="1470"/>
      <c r="F16" s="1470"/>
      <c r="G16" s="1470"/>
      <c r="H16" s="1470"/>
      <c r="I16" s="1470"/>
      <c r="J16" s="1470"/>
      <c r="K16" s="1470"/>
      <c r="L16" s="1470"/>
      <c r="M16" s="1411"/>
      <c r="N16" s="1411"/>
      <c r="O16" s="1411"/>
      <c r="P16" s="1411"/>
      <c r="Q16" s="1411"/>
      <c r="R16" s="1411"/>
      <c r="S16" s="1411"/>
      <c r="T16" s="1411"/>
      <c r="U16" s="1411"/>
      <c r="V16" s="1411"/>
      <c r="W16" s="1411"/>
      <c r="X16" s="1411"/>
      <c r="Y16" s="1411"/>
      <c r="Z16" s="1411"/>
      <c r="AA16" s="1411"/>
      <c r="AB16" s="1411"/>
      <c r="AC16" s="1411"/>
      <c r="AD16" s="1411"/>
      <c r="AE16" s="1411"/>
      <c r="AF16" s="1411"/>
      <c r="AG16" s="1411"/>
      <c r="AH16" s="1411"/>
      <c r="AI16" s="1411"/>
    </row>
    <row r="17" spans="1:35" ht="28.5" customHeight="1">
      <c r="A17" s="751">
        <v>-7</v>
      </c>
      <c r="B17" s="1470" t="s">
        <v>496</v>
      </c>
      <c r="C17" s="1470"/>
      <c r="D17" s="1470"/>
      <c r="E17" s="1470"/>
      <c r="F17" s="1470"/>
      <c r="G17" s="1470"/>
      <c r="H17" s="1470"/>
      <c r="I17" s="1470"/>
      <c r="J17" s="1470"/>
      <c r="K17" s="1470"/>
      <c r="L17" s="1470"/>
      <c r="M17" s="1411"/>
      <c r="N17" s="1411"/>
      <c r="O17" s="1411"/>
      <c r="P17" s="1411"/>
      <c r="Q17" s="1411"/>
      <c r="R17" s="1411"/>
      <c r="S17" s="1411"/>
      <c r="T17" s="1411"/>
      <c r="U17" s="1411"/>
      <c r="V17" s="1411"/>
      <c r="W17" s="1411"/>
      <c r="X17" s="1411"/>
      <c r="Y17" s="1411"/>
      <c r="Z17" s="1411"/>
      <c r="AA17" s="1411"/>
      <c r="AB17" s="1411"/>
      <c r="AC17" s="1411"/>
      <c r="AD17" s="1411"/>
      <c r="AE17" s="1411"/>
      <c r="AF17" s="1411"/>
      <c r="AG17" s="1411"/>
      <c r="AH17" s="1411"/>
      <c r="AI17" s="1411"/>
    </row>
    <row r="18" spans="1:35" ht="15.75" customHeight="1">
      <c r="A18" s="135">
        <v>-8</v>
      </c>
      <c r="B18" s="1470" t="s">
        <v>296</v>
      </c>
      <c r="C18" s="1470"/>
      <c r="D18" s="1470"/>
      <c r="E18" s="1470"/>
      <c r="F18" s="1470"/>
      <c r="G18" s="1470"/>
      <c r="H18" s="1470"/>
      <c r="I18" s="1470"/>
      <c r="J18" s="1470"/>
      <c r="K18" s="1470"/>
      <c r="L18" s="1470"/>
      <c r="M18" s="99"/>
      <c r="N18" s="99"/>
      <c r="O18" s="99"/>
      <c r="P18" s="99"/>
      <c r="Q18" s="99"/>
      <c r="R18" s="99"/>
      <c r="S18" s="99"/>
      <c r="T18" s="99"/>
      <c r="U18" s="99"/>
      <c r="V18" s="99"/>
      <c r="W18" s="99"/>
      <c r="X18" s="99"/>
      <c r="Y18" s="99"/>
      <c r="Z18" s="99"/>
      <c r="AA18" s="99"/>
      <c r="AB18" s="99"/>
      <c r="AC18" s="99"/>
      <c r="AD18" s="99"/>
      <c r="AE18" s="99"/>
      <c r="AF18" s="99"/>
      <c r="AG18" s="99"/>
      <c r="AH18" s="99"/>
      <c r="AI18" s="99"/>
    </row>
    <row r="19" spans="1:35" ht="18" customHeight="1">
      <c r="A19" s="135">
        <v>-9</v>
      </c>
      <c r="B19" s="1470" t="s">
        <v>297</v>
      </c>
      <c r="C19" s="1470"/>
      <c r="D19" s="1470"/>
      <c r="E19" s="1470"/>
      <c r="F19" s="1470"/>
      <c r="G19" s="1470"/>
      <c r="H19" s="1470"/>
      <c r="I19" s="1470"/>
      <c r="J19" s="1470"/>
      <c r="K19" s="1470"/>
      <c r="L19" s="1470"/>
      <c r="M19" s="99"/>
      <c r="N19" s="99"/>
      <c r="O19" s="99"/>
      <c r="P19" s="99"/>
      <c r="Q19" s="99"/>
      <c r="R19" s="99"/>
      <c r="S19" s="99"/>
      <c r="T19" s="99"/>
      <c r="U19" s="99"/>
      <c r="V19" s="99"/>
      <c r="W19" s="99"/>
      <c r="X19" s="99"/>
      <c r="Y19" s="99"/>
      <c r="Z19" s="99"/>
      <c r="AA19" s="99"/>
      <c r="AB19" s="99"/>
      <c r="AC19" s="99"/>
      <c r="AD19" s="99"/>
      <c r="AE19" s="99"/>
      <c r="AF19" s="99"/>
      <c r="AG19" s="99"/>
      <c r="AH19" s="99"/>
      <c r="AI19" s="99"/>
    </row>
    <row r="20" spans="1:35" ht="15.75" customHeight="1">
      <c r="A20" s="135">
        <v>-10</v>
      </c>
      <c r="B20" s="1470" t="s">
        <v>299</v>
      </c>
      <c r="C20" s="1470"/>
      <c r="D20" s="1470"/>
      <c r="E20" s="1470"/>
      <c r="F20" s="1470"/>
      <c r="G20" s="1470"/>
      <c r="H20" s="1470"/>
      <c r="I20" s="1470"/>
      <c r="J20" s="1470"/>
      <c r="K20" s="1470"/>
      <c r="L20" s="1470"/>
      <c r="M20" s="99"/>
      <c r="N20" s="99"/>
      <c r="O20" s="99"/>
      <c r="P20" s="99"/>
      <c r="Q20" s="99"/>
      <c r="R20" s="99"/>
      <c r="S20" s="99"/>
      <c r="T20" s="99"/>
      <c r="U20" s="99"/>
      <c r="V20" s="99"/>
      <c r="W20" s="99"/>
      <c r="X20" s="99"/>
      <c r="Y20" s="99"/>
      <c r="Z20" s="99"/>
      <c r="AA20" s="99"/>
      <c r="AB20" s="99"/>
      <c r="AC20" s="99"/>
      <c r="AD20" s="99"/>
      <c r="AE20" s="99"/>
      <c r="AF20" s="99"/>
      <c r="AG20" s="99"/>
      <c r="AH20" s="99"/>
      <c r="AI20" s="99"/>
    </row>
    <row r="21" spans="1:35" ht="15.75" customHeight="1">
      <c r="A21" s="135"/>
      <c r="B21" s="1470" t="s">
        <v>63</v>
      </c>
      <c r="C21" s="1470"/>
      <c r="D21" s="1470"/>
      <c r="E21" s="1470"/>
      <c r="F21" s="1470"/>
      <c r="G21" s="1470"/>
      <c r="H21" s="1470"/>
      <c r="I21" s="1470"/>
      <c r="J21" s="1470"/>
      <c r="K21" s="1470"/>
      <c r="L21" s="1470"/>
      <c r="M21" s="99"/>
      <c r="N21" s="99"/>
      <c r="O21" s="99"/>
      <c r="P21" s="99"/>
      <c r="Q21" s="99"/>
      <c r="R21" s="99"/>
      <c r="S21" s="99"/>
      <c r="T21" s="99"/>
      <c r="U21" s="99"/>
      <c r="V21" s="99"/>
      <c r="W21" s="99"/>
      <c r="X21" s="99"/>
      <c r="Y21" s="99"/>
      <c r="Z21" s="99"/>
      <c r="AA21" s="99"/>
      <c r="AB21" s="99"/>
      <c r="AC21" s="99"/>
      <c r="AD21" s="99"/>
      <c r="AE21" s="99"/>
      <c r="AF21" s="99"/>
      <c r="AG21" s="99"/>
      <c r="AH21" s="99"/>
      <c r="AI21" s="99"/>
    </row>
    <row r="22" spans="1:35" ht="18" customHeight="1">
      <c r="A22" s="135">
        <v>-11</v>
      </c>
      <c r="B22" s="1470" t="s">
        <v>300</v>
      </c>
      <c r="C22" s="1470"/>
      <c r="D22" s="1470"/>
      <c r="E22" s="1470"/>
      <c r="F22" s="1470"/>
      <c r="G22" s="1470"/>
      <c r="H22" s="1470"/>
      <c r="I22" s="1470"/>
      <c r="J22" s="1470"/>
      <c r="K22" s="1470"/>
      <c r="L22" s="1470"/>
      <c r="M22" s="99"/>
      <c r="N22" s="99"/>
      <c r="O22" s="99"/>
      <c r="P22" s="99"/>
      <c r="Q22" s="99"/>
      <c r="R22" s="99"/>
      <c r="S22" s="99"/>
      <c r="T22" s="99"/>
      <c r="U22" s="99"/>
      <c r="V22" s="99"/>
      <c r="W22" s="99"/>
      <c r="X22" s="99"/>
      <c r="Y22" s="99"/>
      <c r="Z22" s="99"/>
      <c r="AA22" s="99"/>
      <c r="AB22" s="99"/>
      <c r="AC22" s="99"/>
      <c r="AD22" s="99"/>
      <c r="AE22" s="99"/>
      <c r="AF22" s="99"/>
      <c r="AG22" s="99"/>
      <c r="AH22" s="99"/>
      <c r="AI22" s="99"/>
    </row>
    <row r="23" spans="1:35" ht="18" customHeight="1">
      <c r="A23" s="135">
        <v>-12</v>
      </c>
      <c r="B23" s="1470" t="s">
        <v>64</v>
      </c>
      <c r="C23" s="1470"/>
      <c r="D23" s="1470"/>
      <c r="E23" s="1470"/>
      <c r="F23" s="1470"/>
      <c r="G23" s="1470"/>
      <c r="H23" s="1470"/>
      <c r="I23" s="1470"/>
      <c r="J23" s="1470"/>
      <c r="K23" s="1470"/>
      <c r="L23" s="1470"/>
      <c r="M23" s="99"/>
      <c r="N23" s="99"/>
      <c r="O23" s="99"/>
      <c r="P23" s="99"/>
      <c r="Q23" s="99"/>
      <c r="R23" s="99"/>
      <c r="S23" s="99"/>
      <c r="T23" s="99"/>
      <c r="U23" s="99"/>
      <c r="V23" s="99"/>
      <c r="W23" s="99"/>
      <c r="X23" s="99"/>
      <c r="Y23" s="99"/>
      <c r="Z23" s="99"/>
      <c r="AA23" s="99"/>
      <c r="AB23" s="99"/>
      <c r="AC23" s="99"/>
      <c r="AD23" s="99"/>
      <c r="AE23" s="99"/>
      <c r="AF23" s="99"/>
      <c r="AG23" s="99"/>
      <c r="AH23" s="99"/>
      <c r="AI23" s="99"/>
    </row>
    <row r="24" spans="1:35" ht="18" customHeight="1">
      <c r="A24" s="135">
        <v>-13</v>
      </c>
      <c r="B24" s="1470" t="s">
        <v>301</v>
      </c>
      <c r="C24" s="1470"/>
      <c r="D24" s="1470"/>
      <c r="E24" s="1470"/>
      <c r="F24" s="1470"/>
      <c r="G24" s="1470"/>
      <c r="H24" s="1470"/>
      <c r="I24" s="1470"/>
      <c r="J24" s="1470"/>
      <c r="K24" s="1470"/>
      <c r="L24" s="1470"/>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row>
    <row r="25" spans="1:35" ht="14.25">
      <c r="A25" s="751">
        <v>-14</v>
      </c>
      <c r="B25" s="1470" t="s">
        <v>470</v>
      </c>
      <c r="C25" s="1470"/>
      <c r="D25" s="1470"/>
      <c r="E25" s="1470"/>
      <c r="F25" s="1470"/>
      <c r="G25" s="1470"/>
      <c r="H25" s="1470"/>
      <c r="I25" s="1470"/>
      <c r="J25" s="1470"/>
      <c r="K25" s="1470"/>
      <c r="L25" s="1470"/>
      <c r="M25" s="1472"/>
      <c r="N25" s="1417"/>
      <c r="O25" s="1417"/>
      <c r="P25" s="1417"/>
      <c r="Q25" s="1417"/>
      <c r="R25" s="1417"/>
      <c r="S25" s="1417"/>
      <c r="T25" s="1417"/>
      <c r="U25" s="1417"/>
      <c r="V25" s="1417"/>
      <c r="W25" s="1417"/>
      <c r="X25" s="1472"/>
      <c r="Y25" s="1417"/>
      <c r="Z25" s="1417"/>
      <c r="AA25" s="1417"/>
      <c r="AB25" s="1417"/>
      <c r="AC25" s="1417"/>
      <c r="AD25" s="1417"/>
      <c r="AE25" s="1417"/>
      <c r="AF25" s="1417"/>
      <c r="AG25" s="1417"/>
      <c r="AH25" s="1417"/>
      <c r="AI25" s="113"/>
    </row>
    <row r="26" spans="1:35" ht="18" customHeight="1">
      <c r="A26" s="135">
        <v>-15</v>
      </c>
      <c r="B26" s="1470" t="s">
        <v>65</v>
      </c>
      <c r="C26" s="1470"/>
      <c r="D26" s="1470"/>
      <c r="E26" s="1470"/>
      <c r="F26" s="1470"/>
      <c r="G26" s="1470"/>
      <c r="H26" s="1470"/>
      <c r="I26" s="1470"/>
      <c r="J26" s="1470"/>
      <c r="K26" s="1470"/>
      <c r="L26" s="1470"/>
      <c r="M26" s="1472"/>
      <c r="N26" s="1417"/>
      <c r="O26" s="1417"/>
      <c r="P26" s="1417"/>
      <c r="Q26" s="1417"/>
      <c r="R26" s="1417"/>
      <c r="S26" s="1417"/>
      <c r="T26" s="1417"/>
      <c r="U26" s="1417"/>
      <c r="V26" s="1417"/>
      <c r="W26" s="1417"/>
      <c r="X26" s="1472"/>
      <c r="Y26" s="1417"/>
      <c r="Z26" s="1417"/>
      <c r="AA26" s="1417"/>
      <c r="AB26" s="1417"/>
      <c r="AC26" s="1417"/>
      <c r="AD26" s="1417"/>
      <c r="AE26" s="1417"/>
      <c r="AF26" s="1417"/>
      <c r="AG26" s="1417"/>
      <c r="AH26" s="1417"/>
      <c r="AI26" s="113"/>
    </row>
    <row r="27" spans="2:35" ht="18" customHeight="1">
      <c r="B27" s="1470" t="s">
        <v>248</v>
      </c>
      <c r="C27" s="1470"/>
      <c r="D27" s="1470"/>
      <c r="E27" s="1470"/>
      <c r="F27" s="1470"/>
      <c r="G27" s="1470"/>
      <c r="H27" s="1470"/>
      <c r="I27" s="1470"/>
      <c r="J27" s="1470"/>
      <c r="K27" s="1470"/>
      <c r="L27" s="1470"/>
      <c r="M27" s="113"/>
      <c r="N27" s="93"/>
      <c r="O27" s="93"/>
      <c r="P27" s="93"/>
      <c r="Q27" s="93"/>
      <c r="R27" s="93"/>
      <c r="S27" s="93"/>
      <c r="T27" s="93"/>
      <c r="U27" s="93"/>
      <c r="V27" s="93"/>
      <c r="W27" s="93"/>
      <c r="X27" s="113"/>
      <c r="Y27" s="93"/>
      <c r="Z27" s="93"/>
      <c r="AA27" s="93"/>
      <c r="AB27" s="93"/>
      <c r="AC27" s="93"/>
      <c r="AD27" s="93"/>
      <c r="AE27" s="93"/>
      <c r="AF27" s="93"/>
      <c r="AG27" s="93"/>
      <c r="AH27" s="93"/>
      <c r="AI27" s="113"/>
    </row>
    <row r="28" spans="1:35" ht="18" customHeight="1">
      <c r="A28" s="751">
        <v>-16</v>
      </c>
      <c r="B28" s="1471" t="s">
        <v>351</v>
      </c>
      <c r="C28" s="1471"/>
      <c r="D28" s="1471"/>
      <c r="E28" s="1471"/>
      <c r="F28" s="1471"/>
      <c r="G28" s="1471"/>
      <c r="H28" s="1471"/>
      <c r="I28" s="1471"/>
      <c r="J28" s="1471"/>
      <c r="K28" s="1471"/>
      <c r="L28" s="1471"/>
      <c r="M28" s="1472"/>
      <c r="N28" s="1417"/>
      <c r="O28" s="1417"/>
      <c r="P28" s="1417"/>
      <c r="Q28" s="1417"/>
      <c r="R28" s="1417"/>
      <c r="S28" s="1417"/>
      <c r="T28" s="1417"/>
      <c r="U28" s="1417"/>
      <c r="V28" s="1417"/>
      <c r="W28" s="1417"/>
      <c r="X28" s="1472"/>
      <c r="Y28" s="1417"/>
      <c r="Z28" s="1417"/>
      <c r="AA28" s="1417"/>
      <c r="AB28" s="1417"/>
      <c r="AC28" s="1417"/>
      <c r="AD28" s="1417"/>
      <c r="AE28" s="1417"/>
      <c r="AF28" s="1417"/>
      <c r="AG28" s="1417"/>
      <c r="AH28" s="1417"/>
      <c r="AI28" s="113"/>
    </row>
    <row r="29" spans="1:35" ht="18" customHeight="1">
      <c r="A29" s="751">
        <v>-17</v>
      </c>
      <c r="B29" s="1471" t="s">
        <v>350</v>
      </c>
      <c r="C29" s="1471"/>
      <c r="D29" s="1471"/>
      <c r="E29" s="1471"/>
      <c r="F29" s="1471"/>
      <c r="G29" s="1471"/>
      <c r="H29" s="1471"/>
      <c r="I29" s="1471"/>
      <c r="J29" s="1471"/>
      <c r="K29" s="1471"/>
      <c r="L29" s="1471"/>
      <c r="M29" s="1472"/>
      <c r="N29" s="1417"/>
      <c r="O29" s="1417"/>
      <c r="P29" s="1417"/>
      <c r="Q29" s="1417"/>
      <c r="R29" s="1417"/>
      <c r="S29" s="1417"/>
      <c r="T29" s="1417"/>
      <c r="U29" s="1417"/>
      <c r="V29" s="1417"/>
      <c r="W29" s="1417"/>
      <c r="X29" s="1472"/>
      <c r="Y29" s="1417"/>
      <c r="Z29" s="1417"/>
      <c r="AA29" s="1417"/>
      <c r="AB29" s="1417"/>
      <c r="AC29" s="1417"/>
      <c r="AD29" s="1417"/>
      <c r="AE29" s="1417"/>
      <c r="AF29" s="1417"/>
      <c r="AG29" s="1417"/>
      <c r="AH29" s="1417"/>
      <c r="AI29" s="113"/>
    </row>
    <row r="30" spans="1:37" ht="29.25" customHeight="1">
      <c r="A30" s="751">
        <v>-18</v>
      </c>
      <c r="B30" s="1470" t="s">
        <v>469</v>
      </c>
      <c r="C30" s="1470"/>
      <c r="D30" s="1470"/>
      <c r="E30" s="1470"/>
      <c r="F30" s="1470"/>
      <c r="G30" s="1470"/>
      <c r="H30" s="1470"/>
      <c r="I30" s="1470"/>
      <c r="J30" s="1470"/>
      <c r="K30" s="1470"/>
      <c r="L30" s="1470"/>
      <c r="M30" s="1472"/>
      <c r="N30" s="1417"/>
      <c r="O30" s="1417"/>
      <c r="P30" s="1417"/>
      <c r="Q30" s="1417"/>
      <c r="R30" s="1417"/>
      <c r="S30" s="1417"/>
      <c r="T30" s="1417"/>
      <c r="U30" s="1417"/>
      <c r="V30" s="1417"/>
      <c r="W30" s="1417"/>
      <c r="X30" s="1472"/>
      <c r="Y30" s="1417"/>
      <c r="Z30" s="1417"/>
      <c r="AA30" s="1417"/>
      <c r="AB30" s="1417"/>
      <c r="AC30" s="1417"/>
      <c r="AD30" s="1417"/>
      <c r="AE30" s="1417"/>
      <c r="AF30" s="1417"/>
      <c r="AG30" s="1417"/>
      <c r="AH30" s="1417"/>
      <c r="AI30" s="1472"/>
      <c r="AJ30" s="1417"/>
      <c r="AK30" s="1417"/>
    </row>
    <row r="31" spans="1:37" ht="18" customHeight="1">
      <c r="A31" s="135">
        <v>-19</v>
      </c>
      <c r="B31" s="1470" t="s">
        <v>268</v>
      </c>
      <c r="C31" s="1473"/>
      <c r="D31" s="1473"/>
      <c r="E31" s="1473"/>
      <c r="F31" s="1473"/>
      <c r="G31" s="1473"/>
      <c r="H31" s="1473"/>
      <c r="I31" s="1473"/>
      <c r="J31" s="1473"/>
      <c r="K31" s="1473"/>
      <c r="L31" s="1473"/>
      <c r="M31" s="1472"/>
      <c r="N31" s="1417"/>
      <c r="O31" s="1417"/>
      <c r="P31" s="1417"/>
      <c r="Q31" s="1417"/>
      <c r="R31" s="1417"/>
      <c r="S31" s="1417"/>
      <c r="T31" s="1417"/>
      <c r="U31" s="1417"/>
      <c r="V31" s="1417"/>
      <c r="W31" s="1417"/>
      <c r="X31" s="1472"/>
      <c r="Y31" s="1417"/>
      <c r="Z31" s="1417"/>
      <c r="AA31" s="1417"/>
      <c r="AB31" s="1417"/>
      <c r="AC31" s="1417"/>
      <c r="AD31" s="1417"/>
      <c r="AE31" s="1417"/>
      <c r="AF31" s="1417"/>
      <c r="AG31" s="1417"/>
      <c r="AH31" s="1417"/>
      <c r="AI31" s="1472"/>
      <c r="AJ31" s="1417"/>
      <c r="AK31" s="1417"/>
    </row>
    <row r="32" spans="1:37" ht="18" customHeight="1">
      <c r="A32" s="131"/>
      <c r="B32" s="1470" t="s">
        <v>269</v>
      </c>
      <c r="C32" s="1473"/>
      <c r="D32" s="1473"/>
      <c r="E32" s="1473"/>
      <c r="F32" s="1473"/>
      <c r="G32" s="1473"/>
      <c r="H32" s="1473"/>
      <c r="I32" s="1473"/>
      <c r="J32" s="1473"/>
      <c r="K32" s="1473"/>
      <c r="L32" s="1473"/>
      <c r="M32" s="113"/>
      <c r="N32" s="93"/>
      <c r="O32" s="93"/>
      <c r="P32" s="93"/>
      <c r="Q32" s="93"/>
      <c r="R32" s="93"/>
      <c r="S32" s="93"/>
      <c r="T32" s="93"/>
      <c r="U32" s="93"/>
      <c r="V32" s="93"/>
      <c r="W32" s="93"/>
      <c r="X32" s="113"/>
      <c r="Y32" s="93"/>
      <c r="Z32" s="93"/>
      <c r="AA32" s="93"/>
      <c r="AB32" s="93"/>
      <c r="AC32" s="93"/>
      <c r="AD32" s="93"/>
      <c r="AE32" s="93"/>
      <c r="AF32" s="93"/>
      <c r="AG32" s="93"/>
      <c r="AH32" s="93"/>
      <c r="AI32" s="113"/>
      <c r="AJ32" s="93"/>
      <c r="AK32" s="93"/>
    </row>
    <row r="33" spans="1:37" ht="17.25" customHeight="1">
      <c r="A33" s="751">
        <v>-20</v>
      </c>
      <c r="B33" s="1470" t="s">
        <v>335</v>
      </c>
      <c r="C33" s="1470"/>
      <c r="D33" s="1470"/>
      <c r="E33" s="1470"/>
      <c r="F33" s="1470"/>
      <c r="G33" s="1470"/>
      <c r="H33" s="1470"/>
      <c r="I33" s="1470"/>
      <c r="J33" s="1470"/>
      <c r="K33" s="1470"/>
      <c r="L33" s="1470"/>
      <c r="M33" s="1472"/>
      <c r="N33" s="1417"/>
      <c r="O33" s="1417"/>
      <c r="P33" s="1417"/>
      <c r="Q33" s="1417"/>
      <c r="R33" s="1417"/>
      <c r="S33" s="1417"/>
      <c r="T33" s="1417"/>
      <c r="U33" s="1417"/>
      <c r="V33" s="1417"/>
      <c r="W33" s="1417"/>
      <c r="X33" s="1472"/>
      <c r="Y33" s="1417"/>
      <c r="Z33" s="1417"/>
      <c r="AA33" s="1417"/>
      <c r="AB33" s="1417"/>
      <c r="AC33" s="1417"/>
      <c r="AD33" s="1417"/>
      <c r="AE33" s="1417"/>
      <c r="AF33" s="1417"/>
      <c r="AG33" s="1417"/>
      <c r="AH33" s="1417"/>
      <c r="AK33" s="131">
        <f>AJ33</f>
        <v>0</v>
      </c>
    </row>
    <row r="34" spans="1:34" ht="15.75" customHeight="1">
      <c r="A34" s="131"/>
      <c r="B34" s="1470" t="s">
        <v>334</v>
      </c>
      <c r="C34" s="1470"/>
      <c r="D34" s="1470"/>
      <c r="E34" s="1470"/>
      <c r="F34" s="1470"/>
      <c r="G34" s="1470"/>
      <c r="H34" s="1470"/>
      <c r="I34" s="1470"/>
      <c r="J34" s="1470"/>
      <c r="K34" s="1470"/>
      <c r="L34" s="1470"/>
      <c r="M34" s="113"/>
      <c r="N34" s="93"/>
      <c r="O34" s="93"/>
      <c r="P34" s="93"/>
      <c r="Q34" s="93"/>
      <c r="R34" s="93"/>
      <c r="S34" s="93"/>
      <c r="T34" s="93"/>
      <c r="U34" s="93"/>
      <c r="V34" s="93"/>
      <c r="W34" s="93"/>
      <c r="X34" s="113"/>
      <c r="Y34" s="93"/>
      <c r="Z34" s="93"/>
      <c r="AA34" s="93"/>
      <c r="AB34" s="93"/>
      <c r="AC34" s="93"/>
      <c r="AD34" s="93"/>
      <c r="AE34" s="93"/>
      <c r="AF34" s="93"/>
      <c r="AG34" s="93"/>
      <c r="AH34" s="93"/>
    </row>
    <row r="35" spans="1:35" ht="17.25" customHeight="1">
      <c r="A35" s="751">
        <v>-21</v>
      </c>
      <c r="B35" s="1470" t="s">
        <v>416</v>
      </c>
      <c r="C35" s="1470"/>
      <c r="D35" s="1470"/>
      <c r="E35" s="1470"/>
      <c r="F35" s="1470"/>
      <c r="G35" s="1470"/>
      <c r="H35" s="1470"/>
      <c r="I35" s="1470"/>
      <c r="J35" s="1470"/>
      <c r="K35" s="1470"/>
      <c r="L35" s="1470"/>
      <c r="M35" s="1472"/>
      <c r="N35" s="1417"/>
      <c r="O35" s="1417"/>
      <c r="P35" s="1417"/>
      <c r="Q35" s="1417"/>
      <c r="R35" s="1417"/>
      <c r="S35" s="1417"/>
      <c r="T35" s="1417"/>
      <c r="U35" s="1417"/>
      <c r="V35" s="1417"/>
      <c r="W35" s="1417"/>
      <c r="X35" s="1472"/>
      <c r="Y35" s="1417"/>
      <c r="Z35" s="1417"/>
      <c r="AA35" s="1417"/>
      <c r="AB35" s="1417"/>
      <c r="AC35" s="1417"/>
      <c r="AD35" s="1417"/>
      <c r="AE35" s="1417"/>
      <c r="AF35" s="1417"/>
      <c r="AG35" s="1417"/>
      <c r="AH35" s="1417"/>
      <c r="AI35" s="113"/>
    </row>
    <row r="36" spans="1:35" ht="17.25" customHeight="1">
      <c r="A36" s="135"/>
      <c r="B36" s="1470" t="s">
        <v>417</v>
      </c>
      <c r="C36" s="1473"/>
      <c r="D36" s="1473"/>
      <c r="E36" s="1473"/>
      <c r="F36" s="1473"/>
      <c r="G36" s="1473"/>
      <c r="H36" s="1473"/>
      <c r="I36" s="1473"/>
      <c r="J36" s="1473"/>
      <c r="K36" s="1473"/>
      <c r="L36" s="1473"/>
      <c r="M36" s="113"/>
      <c r="N36" s="93"/>
      <c r="O36" s="93"/>
      <c r="P36" s="93"/>
      <c r="Q36" s="93"/>
      <c r="R36" s="93"/>
      <c r="S36" s="93"/>
      <c r="T36" s="93"/>
      <c r="U36" s="93"/>
      <c r="V36" s="93"/>
      <c r="W36" s="93"/>
      <c r="X36" s="113"/>
      <c r="Y36" s="93"/>
      <c r="Z36" s="93"/>
      <c r="AA36" s="93"/>
      <c r="AB36" s="93"/>
      <c r="AC36" s="93"/>
      <c r="AD36" s="93"/>
      <c r="AE36" s="93"/>
      <c r="AF36" s="93"/>
      <c r="AG36" s="93"/>
      <c r="AH36" s="93"/>
      <c r="AI36" s="113"/>
    </row>
    <row r="37" spans="1:34" ht="18" customHeight="1">
      <c r="A37" s="135">
        <v>-22</v>
      </c>
      <c r="B37" s="1470" t="s">
        <v>66</v>
      </c>
      <c r="C37" s="1473"/>
      <c r="D37" s="1473"/>
      <c r="E37" s="1473"/>
      <c r="F37" s="1473"/>
      <c r="G37" s="1473"/>
      <c r="H37" s="1473"/>
      <c r="I37" s="1473"/>
      <c r="J37" s="1473"/>
      <c r="K37" s="1473"/>
      <c r="L37" s="1473"/>
      <c r="M37" s="1472"/>
      <c r="N37" s="1417"/>
      <c r="O37" s="1417"/>
      <c r="P37" s="1417"/>
      <c r="Q37" s="1417"/>
      <c r="R37" s="1417"/>
      <c r="S37" s="1417"/>
      <c r="T37" s="1417"/>
      <c r="U37" s="1417"/>
      <c r="V37" s="1417"/>
      <c r="W37" s="1417"/>
      <c r="X37" s="1472"/>
      <c r="Y37" s="1417"/>
      <c r="Z37" s="1417"/>
      <c r="AA37" s="1417"/>
      <c r="AB37" s="1417"/>
      <c r="AC37" s="1417"/>
      <c r="AD37" s="1417"/>
      <c r="AE37" s="1417"/>
      <c r="AF37" s="1417"/>
      <c r="AG37" s="1417"/>
      <c r="AH37" s="1417"/>
    </row>
    <row r="38" spans="2:34" ht="18" customHeight="1">
      <c r="B38" s="1470" t="s">
        <v>270</v>
      </c>
      <c r="C38" s="1473"/>
      <c r="D38" s="1473"/>
      <c r="E38" s="1473"/>
      <c r="F38" s="1473"/>
      <c r="G38" s="1473"/>
      <c r="H38" s="1473"/>
      <c r="I38" s="1473"/>
      <c r="J38" s="1473"/>
      <c r="K38" s="1473"/>
      <c r="L38" s="1473"/>
      <c r="M38" s="113"/>
      <c r="N38" s="93"/>
      <c r="O38" s="93"/>
      <c r="P38" s="93"/>
      <c r="Q38" s="93"/>
      <c r="R38" s="93"/>
      <c r="S38" s="93"/>
      <c r="T38" s="93"/>
      <c r="U38" s="93"/>
      <c r="V38" s="93"/>
      <c r="W38" s="93"/>
      <c r="X38" s="113"/>
      <c r="Y38" s="93"/>
      <c r="Z38" s="93"/>
      <c r="AA38" s="93"/>
      <c r="AB38" s="93"/>
      <c r="AC38" s="93"/>
      <c r="AD38" s="93"/>
      <c r="AE38" s="93"/>
      <c r="AF38" s="93"/>
      <c r="AG38" s="93"/>
      <c r="AH38" s="93"/>
    </row>
    <row r="39" spans="1:13" ht="18" customHeight="1">
      <c r="A39" s="135">
        <v>-23</v>
      </c>
      <c r="B39" s="1470" t="s">
        <v>177</v>
      </c>
      <c r="C39" s="1473"/>
      <c r="D39" s="1473"/>
      <c r="E39" s="1473"/>
      <c r="F39" s="1473"/>
      <c r="G39" s="1473"/>
      <c r="H39" s="1473"/>
      <c r="I39" s="1473"/>
      <c r="J39" s="1473"/>
      <c r="K39" s="1473"/>
      <c r="L39" s="1473"/>
      <c r="M39" s="113"/>
    </row>
    <row r="40" spans="1:21" s="139" customFormat="1" ht="18" customHeight="1">
      <c r="A40" s="135">
        <v>-24</v>
      </c>
      <c r="B40" s="1470" t="s">
        <v>318</v>
      </c>
      <c r="C40" s="1470"/>
      <c r="D40" s="1470"/>
      <c r="E40" s="1470"/>
      <c r="F40" s="1470"/>
      <c r="G40" s="1470"/>
      <c r="H40" s="1470"/>
      <c r="I40" s="1470"/>
      <c r="J40" s="1470"/>
      <c r="K40" s="1470"/>
      <c r="L40" s="1470"/>
      <c r="U40" s="624"/>
    </row>
    <row r="41" spans="1:12" ht="18" customHeight="1">
      <c r="A41" s="135">
        <v>-25</v>
      </c>
      <c r="B41" s="784" t="s">
        <v>503</v>
      </c>
      <c r="C41" s="783"/>
      <c r="D41" s="783"/>
      <c r="E41" s="783"/>
      <c r="F41" s="783"/>
      <c r="G41" s="783"/>
      <c r="H41" s="783"/>
      <c r="I41" s="783"/>
      <c r="J41" s="783"/>
      <c r="K41" s="783"/>
      <c r="L41" s="783"/>
    </row>
    <row r="42" spans="1:12" ht="18" customHeight="1">
      <c r="A42" s="135"/>
      <c r="B42" s="784" t="s">
        <v>501</v>
      </c>
      <c r="C42" s="783"/>
      <c r="D42" s="783"/>
      <c r="E42" s="783"/>
      <c r="F42" s="783"/>
      <c r="G42" s="783"/>
      <c r="H42" s="783"/>
      <c r="I42" s="783"/>
      <c r="J42" s="783"/>
      <c r="K42" s="783"/>
      <c r="L42" s="783"/>
    </row>
    <row r="43" spans="1:12" ht="18" customHeight="1">
      <c r="A43" s="135">
        <v>-26</v>
      </c>
      <c r="B43" s="141" t="s">
        <v>504</v>
      </c>
      <c r="C43" s="783"/>
      <c r="D43" s="783"/>
      <c r="E43" s="783"/>
      <c r="F43" s="783"/>
      <c r="G43" s="783"/>
      <c r="H43" s="783"/>
      <c r="I43" s="783"/>
      <c r="J43" s="783"/>
      <c r="K43" s="783"/>
      <c r="L43" s="783"/>
    </row>
    <row r="44" spans="2:12" ht="18" customHeight="1">
      <c r="B44" s="784" t="s">
        <v>383</v>
      </c>
      <c r="C44" s="783"/>
      <c r="D44" s="783"/>
      <c r="E44" s="783"/>
      <c r="F44" s="783"/>
      <c r="G44" s="783"/>
      <c r="H44" s="783"/>
      <c r="I44" s="783"/>
      <c r="J44" s="783"/>
      <c r="K44" s="783"/>
      <c r="L44" s="783"/>
    </row>
    <row r="45" spans="2:12" ht="18" customHeight="1">
      <c r="B45" s="784" t="s">
        <v>418</v>
      </c>
      <c r="C45" s="783"/>
      <c r="D45" s="783"/>
      <c r="E45" s="783"/>
      <c r="F45" s="783"/>
      <c r="G45" s="783"/>
      <c r="H45" s="783"/>
      <c r="I45" s="783"/>
      <c r="J45" s="783"/>
      <c r="K45" s="783"/>
      <c r="L45" s="783"/>
    </row>
    <row r="46" spans="1:12" ht="18" customHeight="1">
      <c r="A46" s="135">
        <v>-27</v>
      </c>
      <c r="B46" s="784" t="s">
        <v>468</v>
      </c>
      <c r="C46" s="786"/>
      <c r="D46" s="786"/>
      <c r="E46" s="786"/>
      <c r="F46" s="786"/>
      <c r="G46" s="786"/>
      <c r="H46" s="786"/>
      <c r="I46" s="786"/>
      <c r="J46" s="786"/>
      <c r="K46" s="783"/>
      <c r="L46" s="783"/>
    </row>
    <row r="47" spans="1:21" s="139" customFormat="1" ht="18" customHeight="1">
      <c r="A47" s="135">
        <v>-28</v>
      </c>
      <c r="B47" s="785" t="s">
        <v>349</v>
      </c>
      <c r="C47" s="786"/>
      <c r="D47" s="786"/>
      <c r="E47" s="786"/>
      <c r="F47" s="786"/>
      <c r="G47" s="794"/>
      <c r="H47" s="794"/>
      <c r="I47" s="794"/>
      <c r="J47" s="794"/>
      <c r="K47" s="794"/>
      <c r="L47" s="794"/>
      <c r="U47" s="624"/>
    </row>
    <row r="48" spans="1:2" ht="17.25" customHeight="1">
      <c r="A48" s="135">
        <v>-29</v>
      </c>
      <c r="B48" s="785" t="s">
        <v>422</v>
      </c>
    </row>
    <row r="49" spans="1:2" ht="17.25" customHeight="1">
      <c r="A49" s="895">
        <v>-30</v>
      </c>
      <c r="B49" s="785" t="s">
        <v>408</v>
      </c>
    </row>
    <row r="50" ht="17.25" customHeight="1">
      <c r="A50" s="135"/>
    </row>
  </sheetData>
  <sheetProtection/>
  <mergeCells count="48">
    <mergeCell ref="B32:L32"/>
    <mergeCell ref="X33:AH33"/>
    <mergeCell ref="M33:W33"/>
    <mergeCell ref="M28:W28"/>
    <mergeCell ref="X28:AH28"/>
    <mergeCell ref="M37:W37"/>
    <mergeCell ref="X37:AH37"/>
    <mergeCell ref="M35:W35"/>
    <mergeCell ref="B40:L40"/>
    <mergeCell ref="X25:AH25"/>
    <mergeCell ref="M26:W26"/>
    <mergeCell ref="X26:AH26"/>
    <mergeCell ref="B39:L39"/>
    <mergeCell ref="B33:L33"/>
    <mergeCell ref="B31:L31"/>
    <mergeCell ref="B37:L37"/>
    <mergeCell ref="B35:L35"/>
    <mergeCell ref="B38:L38"/>
    <mergeCell ref="B36:L36"/>
    <mergeCell ref="AI31:AK31"/>
    <mergeCell ref="X29:AH29"/>
    <mergeCell ref="M29:W29"/>
    <mergeCell ref="X31:AH31"/>
    <mergeCell ref="X30:AH30"/>
    <mergeCell ref="M30:W30"/>
    <mergeCell ref="AI30:AK30"/>
    <mergeCell ref="B30:L30"/>
    <mergeCell ref="X35:AH35"/>
    <mergeCell ref="B13:L13"/>
    <mergeCell ref="B14:L14"/>
    <mergeCell ref="B22:L22"/>
    <mergeCell ref="B27:L27"/>
    <mergeCell ref="B15:L15"/>
    <mergeCell ref="B19:L19"/>
    <mergeCell ref="B24:L24"/>
    <mergeCell ref="B20:L20"/>
    <mergeCell ref="B25:L25"/>
    <mergeCell ref="B18:L18"/>
    <mergeCell ref="B16:L16"/>
    <mergeCell ref="B23:L23"/>
    <mergeCell ref="B34:L34"/>
    <mergeCell ref="B28:L28"/>
    <mergeCell ref="B17:L17"/>
    <mergeCell ref="M25:W25"/>
    <mergeCell ref="B26:L26"/>
    <mergeCell ref="B21:L21"/>
    <mergeCell ref="M31:W31"/>
    <mergeCell ref="B29:L29"/>
  </mergeCells>
  <printOptions horizontalCentered="1"/>
  <pageMargins left="0.3" right="0.3" top="0.4" bottom="0.6" header="0" footer="0.3"/>
  <pageSetup fitToHeight="1" fitToWidth="1" horizontalDpi="600" verticalDpi="600" orientation="landscape" scale="55" r:id="rId2"/>
  <headerFooter alignWithMargins="0">
    <oddFooter>&amp;CPage 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zoomScaleSheetLayoutView="90" workbookViewId="0" topLeftCell="A1">
      <selection activeCell="A1" sqref="A1"/>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0"/>
      <c r="B1" s="110"/>
      <c r="C1" s="110"/>
      <c r="D1" s="110"/>
      <c r="E1" s="110"/>
      <c r="F1" s="110"/>
    </row>
    <row r="2" spans="1:6" ht="15">
      <c r="A2" s="110"/>
      <c r="B2" s="110"/>
      <c r="C2" s="110"/>
      <c r="D2" s="110"/>
      <c r="E2" s="110"/>
      <c r="F2" s="110"/>
    </row>
    <row r="3" spans="1:6" ht="15">
      <c r="A3" s="110"/>
      <c r="B3" s="110"/>
      <c r="C3" s="110"/>
      <c r="D3" s="110"/>
      <c r="E3" s="110"/>
      <c r="F3" s="110"/>
    </row>
    <row r="4" spans="1:6" ht="21" customHeight="1">
      <c r="A4" s="110"/>
      <c r="B4" s="110"/>
      <c r="C4" s="110"/>
      <c r="D4" s="110"/>
      <c r="E4" s="110"/>
      <c r="F4" s="110"/>
    </row>
    <row r="5" spans="1:6" ht="15">
      <c r="A5" s="115"/>
      <c r="B5" s="111" t="s">
        <v>52</v>
      </c>
      <c r="C5" s="112"/>
      <c r="D5" s="112"/>
      <c r="E5" s="114"/>
      <c r="F5" s="115"/>
    </row>
    <row r="6" spans="1:6" ht="16.5" customHeight="1">
      <c r="A6" s="115"/>
      <c r="B6" s="116"/>
      <c r="C6" s="117"/>
      <c r="D6" s="118" t="s">
        <v>53</v>
      </c>
      <c r="E6" s="119"/>
      <c r="F6" s="115"/>
    </row>
    <row r="7" spans="1:6" ht="16.5" customHeight="1">
      <c r="A7" s="115"/>
      <c r="B7" s="1433" t="s">
        <v>54</v>
      </c>
      <c r="C7" s="1434"/>
      <c r="D7" s="726">
        <v>1</v>
      </c>
      <c r="E7" s="121"/>
      <c r="F7" s="115"/>
    </row>
    <row r="8" spans="1:6" ht="16.5" customHeight="1">
      <c r="A8" s="115"/>
      <c r="B8" s="1433" t="s">
        <v>55</v>
      </c>
      <c r="C8" s="1434"/>
      <c r="D8" s="726">
        <v>2</v>
      </c>
      <c r="E8" s="121"/>
      <c r="F8" s="115"/>
    </row>
    <row r="9" spans="1:6" ht="16.5" customHeight="1">
      <c r="A9" s="115"/>
      <c r="B9" s="1427" t="s">
        <v>221</v>
      </c>
      <c r="C9" s="1426"/>
      <c r="D9" s="726">
        <v>3</v>
      </c>
      <c r="E9" s="121"/>
      <c r="F9" s="115"/>
    </row>
    <row r="10" spans="1:6" ht="16.5" customHeight="1">
      <c r="A10" s="115"/>
      <c r="B10" s="1297" t="s">
        <v>462</v>
      </c>
      <c r="C10" s="3"/>
      <c r="D10" s="726">
        <v>4</v>
      </c>
      <c r="E10" s="121"/>
      <c r="F10" s="115"/>
    </row>
    <row r="11" spans="1:6" ht="16.5" customHeight="1">
      <c r="A11" s="115"/>
      <c r="B11" s="1297" t="s">
        <v>463</v>
      </c>
      <c r="C11" s="3"/>
      <c r="D11" s="726">
        <v>5</v>
      </c>
      <c r="E11" s="121"/>
      <c r="F11" s="115"/>
    </row>
    <row r="12" spans="1:6" ht="16.5" customHeight="1">
      <c r="A12" s="115"/>
      <c r="B12" s="1297" t="s">
        <v>465</v>
      </c>
      <c r="C12" s="3"/>
      <c r="D12" s="726">
        <v>6</v>
      </c>
      <c r="E12" s="121"/>
      <c r="F12" s="115"/>
    </row>
    <row r="13" spans="1:6" ht="16.5" customHeight="1">
      <c r="A13" s="115"/>
      <c r="B13" s="1425" t="s">
        <v>464</v>
      </c>
      <c r="C13" s="1426"/>
      <c r="D13" s="726">
        <v>7</v>
      </c>
      <c r="E13" s="122"/>
      <c r="F13" s="115"/>
    </row>
    <row r="14" spans="1:6" ht="16.5" customHeight="1">
      <c r="A14" s="115"/>
      <c r="B14" s="1425" t="s">
        <v>414</v>
      </c>
      <c r="C14" s="1426"/>
      <c r="D14" s="726">
        <v>8</v>
      </c>
      <c r="E14" s="121"/>
      <c r="F14" s="115"/>
    </row>
    <row r="15" spans="1:6" ht="16.5" customHeight="1">
      <c r="A15" s="115"/>
      <c r="B15" s="1298" t="s">
        <v>415</v>
      </c>
      <c r="C15" s="1296"/>
      <c r="D15" s="726">
        <v>9</v>
      </c>
      <c r="E15" s="121"/>
      <c r="F15" s="115"/>
    </row>
    <row r="16" spans="1:6" ht="16.5" customHeight="1">
      <c r="A16" s="115"/>
      <c r="B16" s="955" t="s">
        <v>56</v>
      </c>
      <c r="C16" s="1296"/>
      <c r="D16" s="726">
        <v>10</v>
      </c>
      <c r="E16" s="121"/>
      <c r="F16" s="115"/>
    </row>
    <row r="17" spans="1:6" ht="16.5" customHeight="1">
      <c r="A17" s="115"/>
      <c r="B17" s="1425" t="s">
        <v>393</v>
      </c>
      <c r="C17" s="1426"/>
      <c r="D17" s="726">
        <v>11</v>
      </c>
      <c r="E17" s="121"/>
      <c r="F17" s="115"/>
    </row>
    <row r="18" spans="1:6" ht="16.5" customHeight="1">
      <c r="A18" s="115"/>
      <c r="B18" s="1427" t="s">
        <v>57</v>
      </c>
      <c r="C18" s="1426"/>
      <c r="D18" s="726">
        <v>12</v>
      </c>
      <c r="E18" s="121"/>
      <c r="F18" s="115"/>
    </row>
    <row r="19" spans="1:6" ht="16.5" customHeight="1">
      <c r="A19" s="115"/>
      <c r="B19" s="1428" t="s">
        <v>58</v>
      </c>
      <c r="C19" s="1429"/>
      <c r="D19" s="727">
        <v>13</v>
      </c>
      <c r="E19" s="124"/>
      <c r="F19" s="115"/>
    </row>
    <row r="20" spans="1:6" ht="12.75">
      <c r="A20" s="115"/>
      <c r="B20" s="115"/>
      <c r="C20" s="115"/>
      <c r="D20" s="115"/>
      <c r="E20" s="115"/>
      <c r="F20" s="115"/>
    </row>
    <row r="21" spans="1:6" ht="12.75">
      <c r="A21" s="115"/>
      <c r="B21" s="115"/>
      <c r="C21" s="115"/>
      <c r="D21" s="115"/>
      <c r="E21" s="115"/>
      <c r="F21" s="115"/>
    </row>
    <row r="22" spans="1:6" ht="14.25">
      <c r="A22" s="677" t="s">
        <v>59</v>
      </c>
      <c r="B22" s="677"/>
      <c r="C22" s="677"/>
      <c r="D22" s="676"/>
      <c r="E22" s="676"/>
      <c r="F22" s="676"/>
    </row>
    <row r="23" spans="1:6" ht="39.75" customHeight="1">
      <c r="A23" s="1430" t="s">
        <v>500</v>
      </c>
      <c r="B23" s="1431"/>
      <c r="C23" s="1432"/>
      <c r="D23" s="1432"/>
      <c r="E23" s="1432"/>
      <c r="F23" s="1432"/>
    </row>
    <row r="24" spans="1:6" ht="12.75" customHeight="1">
      <c r="A24" s="673"/>
      <c r="B24" s="674"/>
      <c r="C24" s="675"/>
      <c r="D24" s="675"/>
      <c r="E24" s="675"/>
      <c r="F24" s="675"/>
    </row>
    <row r="25" spans="1:6" ht="14.25">
      <c r="A25" s="680" t="s">
        <v>290</v>
      </c>
      <c r="B25" s="679"/>
      <c r="C25" s="679"/>
      <c r="D25" s="679"/>
      <c r="E25" s="679"/>
      <c r="F25" s="679"/>
    </row>
    <row r="26" spans="1:6" ht="50.25" customHeight="1">
      <c r="A26" s="1430" t="s">
        <v>316</v>
      </c>
      <c r="B26" s="1431"/>
      <c r="C26" s="1432"/>
      <c r="D26" s="1432"/>
      <c r="E26" s="1432"/>
      <c r="F26" s="1432"/>
    </row>
    <row r="27" spans="1:6" ht="12.75">
      <c r="A27" s="678"/>
      <c r="B27" s="678"/>
      <c r="C27" s="678"/>
      <c r="D27" s="678"/>
      <c r="E27" s="678"/>
      <c r="F27" s="678"/>
    </row>
    <row r="28" spans="1:6" ht="14.25">
      <c r="A28" s="677" t="s">
        <v>291</v>
      </c>
      <c r="B28" s="677"/>
      <c r="C28" s="677"/>
      <c r="D28" s="676"/>
      <c r="E28" s="676"/>
      <c r="F28" s="676"/>
    </row>
    <row r="29" spans="1:6" s="104" customFormat="1" ht="67.5" customHeight="1">
      <c r="A29" s="1419" t="s">
        <v>491</v>
      </c>
      <c r="B29" s="1420"/>
      <c r="C29" s="1421"/>
      <c r="D29" s="1421"/>
      <c r="E29" s="1421"/>
      <c r="F29" s="1421"/>
    </row>
    <row r="30" spans="1:6" ht="12.75">
      <c r="A30" s="127"/>
      <c r="B30" s="127"/>
      <c r="C30" s="93"/>
      <c r="D30" s="107"/>
      <c r="E30" s="93"/>
      <c r="F30" s="93"/>
    </row>
    <row r="31" spans="1:6" ht="14.25">
      <c r="A31" s="125" t="s">
        <v>60</v>
      </c>
      <c r="B31" s="125"/>
      <c r="C31" s="125"/>
      <c r="D31" s="126"/>
      <c r="E31" s="126"/>
      <c r="F31" s="126"/>
    </row>
    <row r="32" spans="1:6" ht="12.75">
      <c r="A32" s="1422" t="s">
        <v>317</v>
      </c>
      <c r="B32" s="1423"/>
      <c r="C32" s="1424"/>
      <c r="D32" s="1424"/>
      <c r="E32" s="1424"/>
      <c r="F32" s="1424"/>
    </row>
    <row r="45" ht="14.25">
      <c r="B45" s="126"/>
    </row>
  </sheetData>
  <sheetProtection/>
  <mergeCells count="12">
    <mergeCell ref="B14:C14"/>
    <mergeCell ref="B7:C7"/>
    <mergeCell ref="B8:C8"/>
    <mergeCell ref="B9:C9"/>
    <mergeCell ref="B13:C13"/>
    <mergeCell ref="A23:F23"/>
    <mergeCell ref="A29:F29"/>
    <mergeCell ref="A32:F32"/>
    <mergeCell ref="B17:C17"/>
    <mergeCell ref="B18:C18"/>
    <mergeCell ref="B19:C19"/>
    <mergeCell ref="A26:F26"/>
  </mergeCells>
  <printOptions horizontalCentered="1"/>
  <pageMargins left="0.3" right="0.3" top="0.4" bottom="0.6" header="0" footer="0.3"/>
  <pageSetup fitToHeight="1" fitToWidth="1" horizontalDpi="600" verticalDpi="600" orientation="landscape" scale="90" r:id="rId2"/>
  <drawing r:id="rId1"/>
</worksheet>
</file>

<file path=xl/worksheets/sheet20.xml><?xml version="1.0" encoding="utf-8"?>
<worksheet xmlns="http://schemas.openxmlformats.org/spreadsheetml/2006/main" xmlns:r="http://schemas.openxmlformats.org/officeDocument/2006/relationships">
  <dimension ref="A1:BM40"/>
  <sheetViews>
    <sheetView zoomScale="75" zoomScaleNormal="75" zoomScalePageLayoutView="0" workbookViewId="0" topLeftCell="A1">
      <pane ySplit="3" topLeftCell="A4" activePane="bottomLeft" state="frozen"/>
      <selection pane="topLeft" activeCell="B30" sqref="B30:L30"/>
      <selection pane="bottomLeft" activeCell="M25" sqref="M25"/>
    </sheetView>
  </sheetViews>
  <sheetFormatPr defaultColWidth="9.140625" defaultRowHeight="12.75" outlineLevelCol="1"/>
  <cols>
    <col min="1" max="1" width="2.7109375" style="0" customWidth="1"/>
    <col min="2" max="2" width="27.57421875" style="0" customWidth="1"/>
    <col min="3" max="6" width="9.7109375" style="0" hidden="1" customWidth="1"/>
    <col min="7" max="7" width="2.8515625" style="0" customWidth="1"/>
    <col min="8" max="19" width="9.28125" style="0" customWidth="1"/>
    <col min="20" max="23" width="9.7109375" style="0" customWidth="1"/>
    <col min="24" max="24" width="9.7109375" style="0" hidden="1" customWidth="1"/>
    <col min="25" max="25" width="10.421875" style="0" hidden="1" customWidth="1"/>
    <col min="26" max="31" width="9.7109375" style="0" hidden="1" customWidth="1"/>
    <col min="32" max="33" width="9.7109375" style="0" hidden="1" customWidth="1" outlineLevel="1"/>
    <col min="34" max="34" width="10.421875" style="3" hidden="1" customWidth="1" outlineLevel="1"/>
    <col min="35" max="35" width="9.7109375" style="3" hidden="1" customWidth="1" outlineLevel="1"/>
    <col min="36" max="36" width="9.7109375" style="3" customWidth="1" collapsed="1"/>
    <col min="37" max="37" width="9.7109375" style="3" customWidth="1"/>
    <col min="38" max="47" width="9.7109375" style="0" customWidth="1"/>
    <col min="48" max="49" width="9.7109375" style="0" hidden="1" customWidth="1"/>
    <col min="50" max="58" width="9.7109375" style="0" customWidth="1"/>
  </cols>
  <sheetData>
    <row r="1" spans="1:56" ht="9.75"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3"/>
      <c r="AN1" s="3"/>
      <c r="AO1" s="3"/>
      <c r="AP1" s="3"/>
      <c r="AQ1" s="3"/>
      <c r="AR1" s="3"/>
      <c r="AS1" s="3"/>
      <c r="AT1" s="3"/>
      <c r="AU1" s="3"/>
      <c r="AV1" s="3"/>
      <c r="AW1" s="3"/>
      <c r="AX1" s="3"/>
      <c r="AY1" s="3"/>
      <c r="AZ1" s="3"/>
      <c r="BA1" s="3"/>
      <c r="BC1" s="3"/>
      <c r="BD1" s="3"/>
    </row>
    <row r="2" spans="1:56" ht="12.75">
      <c r="A2" s="8" t="s">
        <v>376</v>
      </c>
      <c r="B2" s="7"/>
      <c r="C2" s="1480" t="s">
        <v>43</v>
      </c>
      <c r="D2" s="1474" t="s">
        <v>42</v>
      </c>
      <c r="E2" s="1474" t="s">
        <v>45</v>
      </c>
      <c r="F2" s="1474" t="s">
        <v>142</v>
      </c>
      <c r="G2" s="319"/>
      <c r="H2" s="1482" t="s">
        <v>431</v>
      </c>
      <c r="I2" s="1476" t="s">
        <v>430</v>
      </c>
      <c r="J2" s="1476" t="s">
        <v>429</v>
      </c>
      <c r="K2" s="1478" t="s">
        <v>427</v>
      </c>
      <c r="L2" s="1482" t="s">
        <v>362</v>
      </c>
      <c r="M2" s="1476" t="s">
        <v>363</v>
      </c>
      <c r="N2" s="1476" t="s">
        <v>364</v>
      </c>
      <c r="O2" s="1478" t="s">
        <v>365</v>
      </c>
      <c r="P2" s="1482" t="s">
        <v>277</v>
      </c>
      <c r="Q2" s="1476" t="s">
        <v>278</v>
      </c>
      <c r="R2" s="1476" t="s">
        <v>279</v>
      </c>
      <c r="S2" s="1478" t="s">
        <v>276</v>
      </c>
      <c r="T2" s="1482" t="s">
        <v>222</v>
      </c>
      <c r="U2" s="1476" t="s">
        <v>223</v>
      </c>
      <c r="V2" s="1476" t="s">
        <v>224</v>
      </c>
      <c r="W2" s="1478" t="s">
        <v>225</v>
      </c>
      <c r="X2" s="1482" t="s">
        <v>141</v>
      </c>
      <c r="Y2" s="1476" t="s">
        <v>140</v>
      </c>
      <c r="Z2" s="1476" t="s">
        <v>139</v>
      </c>
      <c r="AA2" s="1478" t="s">
        <v>138</v>
      </c>
      <c r="AB2" s="1482" t="s">
        <v>91</v>
      </c>
      <c r="AC2" s="1476" t="s">
        <v>92</v>
      </c>
      <c r="AD2" s="1476" t="s">
        <v>93</v>
      </c>
      <c r="AE2" s="1478" t="s">
        <v>32</v>
      </c>
      <c r="AF2" s="1482" t="s">
        <v>33</v>
      </c>
      <c r="AG2" s="1476" t="s">
        <v>34</v>
      </c>
      <c r="AH2" s="1476" t="s">
        <v>35</v>
      </c>
      <c r="AI2" s="1478" t="s">
        <v>36</v>
      </c>
      <c r="AR2" s="296"/>
      <c r="AV2" s="1474" t="s">
        <v>142</v>
      </c>
      <c r="AW2" s="1485" t="s">
        <v>143</v>
      </c>
      <c r="AX2" s="15"/>
      <c r="AY2" s="15"/>
      <c r="AZ2" s="3"/>
      <c r="BA2" s="3"/>
      <c r="BB2" s="3"/>
      <c r="BC2" s="3"/>
      <c r="BD2" s="3"/>
    </row>
    <row r="3" spans="1:65" ht="12.75">
      <c r="A3" s="265" t="s">
        <v>1</v>
      </c>
      <c r="B3" s="7"/>
      <c r="C3" s="1481" t="s">
        <v>43</v>
      </c>
      <c r="D3" s="1475" t="s">
        <v>42</v>
      </c>
      <c r="E3" s="1475"/>
      <c r="F3" s="1475"/>
      <c r="G3" s="297"/>
      <c r="H3" s="1483"/>
      <c r="I3" s="1477"/>
      <c r="J3" s="1477"/>
      <c r="K3" s="1479"/>
      <c r="L3" s="1483"/>
      <c r="M3" s="1477"/>
      <c r="N3" s="1477"/>
      <c r="O3" s="1479"/>
      <c r="P3" s="1483"/>
      <c r="Q3" s="1477"/>
      <c r="R3" s="1477"/>
      <c r="S3" s="1479"/>
      <c r="T3" s="1483"/>
      <c r="U3" s="1477"/>
      <c r="V3" s="1477"/>
      <c r="W3" s="1479"/>
      <c r="X3" s="1483"/>
      <c r="Y3" s="1477"/>
      <c r="Z3" s="1477"/>
      <c r="AA3" s="1479"/>
      <c r="AB3" s="1483"/>
      <c r="AC3" s="1477"/>
      <c r="AD3" s="1477"/>
      <c r="AE3" s="1479"/>
      <c r="AF3" s="1484"/>
      <c r="AG3" s="1487"/>
      <c r="AH3" s="1487"/>
      <c r="AI3" s="1488"/>
      <c r="AR3" s="15"/>
      <c r="AV3" s="1475"/>
      <c r="AW3" s="1486"/>
      <c r="AX3" s="283"/>
      <c r="AY3" s="15"/>
      <c r="AZ3" s="15"/>
      <c r="BA3" s="15"/>
      <c r="BB3" s="15"/>
      <c r="BC3" s="3"/>
      <c r="BD3" s="3"/>
      <c r="BE3" s="3"/>
      <c r="BF3" s="3"/>
      <c r="BG3" s="3"/>
      <c r="BH3" s="3"/>
      <c r="BI3" s="3"/>
      <c r="BJ3" s="3"/>
      <c r="BK3" s="3"/>
      <c r="BL3" s="3"/>
      <c r="BM3" s="3"/>
    </row>
    <row r="4" spans="1:63" ht="12.75" customHeight="1">
      <c r="A4" s="142"/>
      <c r="B4" s="8"/>
      <c r="C4" s="164"/>
      <c r="D4" s="89"/>
      <c r="E4" s="89"/>
      <c r="F4" s="89"/>
      <c r="G4" s="148"/>
      <c r="H4" s="288"/>
      <c r="I4" s="257"/>
      <c r="J4" s="257"/>
      <c r="K4" s="289"/>
      <c r="L4" s="288"/>
      <c r="M4" s="257"/>
      <c r="N4" s="257"/>
      <c r="O4" s="289"/>
      <c r="P4" s="288"/>
      <c r="Q4" s="257"/>
      <c r="R4" s="257"/>
      <c r="S4" s="289"/>
      <c r="T4" s="288"/>
      <c r="U4" s="257"/>
      <c r="V4" s="257"/>
      <c r="W4" s="289"/>
      <c r="X4" s="288"/>
      <c r="Y4" s="257"/>
      <c r="Z4" s="257"/>
      <c r="AA4" s="289"/>
      <c r="AB4" s="288"/>
      <c r="AC4" s="257"/>
      <c r="AD4" s="257"/>
      <c r="AE4" s="289"/>
      <c r="AF4" s="314"/>
      <c r="AG4" s="235"/>
      <c r="AH4" s="257"/>
      <c r="AI4" s="289"/>
      <c r="AR4" s="148"/>
      <c r="AV4" s="89"/>
      <c r="AW4" s="166"/>
      <c r="AX4" s="148"/>
      <c r="AY4" s="148"/>
      <c r="AZ4" s="148"/>
      <c r="BA4" s="148"/>
      <c r="BC4" s="3"/>
      <c r="BD4" s="3"/>
      <c r="BE4" s="3"/>
      <c r="BF4" s="3"/>
      <c r="BG4" s="3"/>
      <c r="BH4" s="3"/>
      <c r="BI4" s="3"/>
      <c r="BJ4" s="3"/>
      <c r="BK4" s="3"/>
    </row>
    <row r="5" spans="1:63" ht="12.75" customHeight="1">
      <c r="A5" s="273" t="s">
        <v>236</v>
      </c>
      <c r="B5" s="258"/>
      <c r="C5" s="237"/>
      <c r="D5" s="201"/>
      <c r="E5" s="203"/>
      <c r="F5" s="203"/>
      <c r="G5" s="243"/>
      <c r="H5" s="290"/>
      <c r="I5" s="270"/>
      <c r="J5" s="270"/>
      <c r="K5" s="291"/>
      <c r="L5" s="290"/>
      <c r="M5" s="270"/>
      <c r="N5" s="270"/>
      <c r="O5" s="291"/>
      <c r="P5" s="290"/>
      <c r="Q5" s="270"/>
      <c r="R5" s="270"/>
      <c r="S5" s="291"/>
      <c r="T5" s="290"/>
      <c r="U5" s="270"/>
      <c r="V5" s="270"/>
      <c r="W5" s="291"/>
      <c r="X5" s="290"/>
      <c r="Y5" s="270"/>
      <c r="Z5" s="270"/>
      <c r="AA5" s="291"/>
      <c r="AB5" s="290"/>
      <c r="AC5" s="270"/>
      <c r="AD5" s="270"/>
      <c r="AE5" s="291"/>
      <c r="AF5" s="315"/>
      <c r="AG5" s="120"/>
      <c r="AH5" s="270"/>
      <c r="AI5" s="291"/>
      <c r="AR5" s="234"/>
      <c r="AV5" s="302"/>
      <c r="AW5" s="30"/>
      <c r="AX5" s="243"/>
      <c r="AY5" s="234"/>
      <c r="AZ5" s="234"/>
      <c r="BA5" s="234"/>
      <c r="BB5" s="58"/>
      <c r="BC5" s="3"/>
      <c r="BD5" s="3"/>
      <c r="BE5" s="3"/>
      <c r="BF5" s="3"/>
      <c r="BG5" s="3"/>
      <c r="BH5" s="3"/>
      <c r="BI5" s="3"/>
      <c r="BJ5" s="3"/>
      <c r="BK5" s="3"/>
    </row>
    <row r="6" spans="1:63" ht="12.75" customHeight="1">
      <c r="A6" s="273"/>
      <c r="B6" s="83" t="s">
        <v>129</v>
      </c>
      <c r="C6" s="284">
        <v>785.11</v>
      </c>
      <c r="D6" s="285">
        <v>2628.138</v>
      </c>
      <c r="E6" s="304">
        <f aca="true" t="shared" si="0" ref="E6:E17">AB6+AC6+AD6+AE6</f>
        <v>3083</v>
      </c>
      <c r="F6" s="304">
        <f>AA6+Z6+Y6+X6</f>
        <v>3297</v>
      </c>
      <c r="G6" s="276"/>
      <c r="H6" s="292"/>
      <c r="I6" s="285">
        <v>1553</v>
      </c>
      <c r="J6" s="285">
        <v>1396</v>
      </c>
      <c r="K6" s="293">
        <v>1347</v>
      </c>
      <c r="L6" s="292">
        <v>1292</v>
      </c>
      <c r="M6" s="285">
        <v>1395</v>
      </c>
      <c r="N6" s="285">
        <v>1278</v>
      </c>
      <c r="O6" s="293">
        <v>1271</v>
      </c>
      <c r="P6" s="292">
        <v>1201</v>
      </c>
      <c r="Q6" s="285">
        <v>944</v>
      </c>
      <c r="R6" s="285">
        <v>1176</v>
      </c>
      <c r="S6" s="293">
        <v>1260</v>
      </c>
      <c r="T6" s="292">
        <v>1272</v>
      </c>
      <c r="U6" s="285">
        <v>1297</v>
      </c>
      <c r="V6" s="285">
        <v>1262</v>
      </c>
      <c r="W6" s="293">
        <v>1317</v>
      </c>
      <c r="X6" s="292">
        <v>1312</v>
      </c>
      <c r="Y6" s="285">
        <v>921</v>
      </c>
      <c r="Z6" s="285">
        <v>555</v>
      </c>
      <c r="AA6" s="293">
        <v>509</v>
      </c>
      <c r="AB6" s="292">
        <v>589</v>
      </c>
      <c r="AC6" s="285">
        <v>659</v>
      </c>
      <c r="AD6" s="285">
        <v>884</v>
      </c>
      <c r="AE6" s="293">
        <v>951</v>
      </c>
      <c r="AF6" s="316">
        <v>878</v>
      </c>
      <c r="AG6" s="275">
        <v>772</v>
      </c>
      <c r="AH6" s="285">
        <v>590</v>
      </c>
      <c r="AI6" s="293">
        <v>388.138</v>
      </c>
      <c r="AR6" s="275"/>
      <c r="AV6" s="201"/>
      <c r="AW6" s="298"/>
      <c r="AX6" s="276"/>
      <c r="AY6" s="234"/>
      <c r="AZ6" s="275"/>
      <c r="BA6" s="275"/>
      <c r="BB6" s="58"/>
      <c r="BK6" s="3"/>
    </row>
    <row r="7" spans="1:63" ht="12.75" customHeight="1">
      <c r="A7" s="83"/>
      <c r="B7" s="148" t="s">
        <v>130</v>
      </c>
      <c r="C7" s="284">
        <v>0</v>
      </c>
      <c r="D7" s="285">
        <v>0</v>
      </c>
      <c r="E7" s="304">
        <f t="shared" si="0"/>
        <v>0</v>
      </c>
      <c r="F7" s="304">
        <f aca="true" t="shared" si="1" ref="F7:F17">AA7+Z7+Y7+X7</f>
        <v>0</v>
      </c>
      <c r="G7" s="276"/>
      <c r="H7" s="292"/>
      <c r="I7" s="285"/>
      <c r="J7" s="285"/>
      <c r="K7" s="293"/>
      <c r="L7" s="292"/>
      <c r="M7" s="285"/>
      <c r="N7" s="285"/>
      <c r="O7" s="293"/>
      <c r="P7" s="292"/>
      <c r="Q7" s="285"/>
      <c r="R7" s="285"/>
      <c r="S7" s="293"/>
      <c r="T7" s="292"/>
      <c r="U7" s="285">
        <v>0</v>
      </c>
      <c r="V7" s="285">
        <v>0</v>
      </c>
      <c r="W7" s="293">
        <v>0</v>
      </c>
      <c r="X7" s="292">
        <v>0</v>
      </c>
      <c r="Y7" s="285"/>
      <c r="Z7" s="285"/>
      <c r="AA7" s="293"/>
      <c r="AB7" s="292"/>
      <c r="AC7" s="285"/>
      <c r="AD7" s="285"/>
      <c r="AE7" s="293"/>
      <c r="AF7" s="316">
        <v>0</v>
      </c>
      <c r="AG7" s="275">
        <v>0</v>
      </c>
      <c r="AH7" s="285">
        <v>0</v>
      </c>
      <c r="AI7" s="293">
        <v>0</v>
      </c>
      <c r="AR7" s="275"/>
      <c r="AV7" s="201"/>
      <c r="AW7" s="298"/>
      <c r="AX7" s="276"/>
      <c r="AY7" s="276"/>
      <c r="AZ7" s="275"/>
      <c r="BA7" s="275"/>
      <c r="BB7" s="58"/>
      <c r="BK7" s="3"/>
    </row>
    <row r="8" spans="1:63" ht="12.75" customHeight="1">
      <c r="A8" s="83"/>
      <c r="B8" s="148" t="s">
        <v>131</v>
      </c>
      <c r="C8" s="284">
        <v>0</v>
      </c>
      <c r="D8" s="285">
        <v>0</v>
      </c>
      <c r="E8" s="304">
        <f t="shared" si="0"/>
        <v>0</v>
      </c>
      <c r="F8" s="304">
        <f t="shared" si="1"/>
        <v>0</v>
      </c>
      <c r="G8" s="276"/>
      <c r="H8" s="292"/>
      <c r="I8" s="285"/>
      <c r="J8" s="285"/>
      <c r="K8" s="293"/>
      <c r="L8" s="292"/>
      <c r="M8" s="285"/>
      <c r="N8" s="285"/>
      <c r="O8" s="293"/>
      <c r="P8" s="292"/>
      <c r="Q8" s="285"/>
      <c r="R8" s="285"/>
      <c r="S8" s="293"/>
      <c r="T8" s="292"/>
      <c r="U8" s="285"/>
      <c r="V8" s="285">
        <v>0</v>
      </c>
      <c r="W8" s="293">
        <v>0</v>
      </c>
      <c r="X8" s="292">
        <v>0</v>
      </c>
      <c r="Y8" s="285"/>
      <c r="Z8" s="285"/>
      <c r="AA8" s="293"/>
      <c r="AB8" s="292"/>
      <c r="AC8" s="285"/>
      <c r="AD8" s="285"/>
      <c r="AE8" s="293"/>
      <c r="AF8" s="316">
        <v>0</v>
      </c>
      <c r="AG8" s="275">
        <v>0</v>
      </c>
      <c r="AH8" s="285">
        <v>0</v>
      </c>
      <c r="AI8" s="293">
        <v>0</v>
      </c>
      <c r="AR8" s="275"/>
      <c r="AV8" s="201"/>
      <c r="AW8" s="298"/>
      <c r="AX8" s="276"/>
      <c r="AY8" s="234"/>
      <c r="AZ8" s="275"/>
      <c r="BA8" s="275"/>
      <c r="BB8" s="58"/>
      <c r="BK8" s="3"/>
    </row>
    <row r="9" spans="1:63" ht="12.75" customHeight="1">
      <c r="A9" s="83"/>
      <c r="B9" s="148" t="s">
        <v>132</v>
      </c>
      <c r="C9" s="284">
        <v>0</v>
      </c>
      <c r="D9" s="285">
        <v>0</v>
      </c>
      <c r="E9" s="304">
        <f t="shared" si="0"/>
        <v>0</v>
      </c>
      <c r="F9" s="304">
        <f t="shared" si="1"/>
        <v>0</v>
      </c>
      <c r="G9" s="276"/>
      <c r="H9" s="292"/>
      <c r="I9" s="285"/>
      <c r="J9" s="285"/>
      <c r="K9" s="293"/>
      <c r="L9" s="292"/>
      <c r="M9" s="285"/>
      <c r="N9" s="285"/>
      <c r="O9" s="293"/>
      <c r="P9" s="292"/>
      <c r="Q9" s="285"/>
      <c r="R9" s="285"/>
      <c r="S9" s="293"/>
      <c r="T9" s="292"/>
      <c r="U9" s="285"/>
      <c r="V9" s="285">
        <v>0</v>
      </c>
      <c r="W9" s="293">
        <v>0</v>
      </c>
      <c r="X9" s="292">
        <v>0</v>
      </c>
      <c r="Y9" s="285"/>
      <c r="Z9" s="285"/>
      <c r="AA9" s="293"/>
      <c r="AB9" s="292"/>
      <c r="AC9" s="285"/>
      <c r="AD9" s="285"/>
      <c r="AE9" s="293"/>
      <c r="AF9" s="316">
        <v>0</v>
      </c>
      <c r="AG9" s="275">
        <v>0</v>
      </c>
      <c r="AH9" s="285">
        <v>0</v>
      </c>
      <c r="AI9" s="293">
        <v>0</v>
      </c>
      <c r="AR9" s="275"/>
      <c r="AV9" s="201"/>
      <c r="AW9" s="298"/>
      <c r="AX9" s="276"/>
      <c r="AY9" s="234"/>
      <c r="AZ9" s="275"/>
      <c r="BA9" s="275"/>
      <c r="BB9" s="58"/>
      <c r="BK9" s="3"/>
    </row>
    <row r="10" spans="1:63" ht="12.75" customHeight="1">
      <c r="A10" s="83"/>
      <c r="B10" s="148" t="s">
        <v>133</v>
      </c>
      <c r="C10" s="284">
        <v>13639</v>
      </c>
      <c r="D10" s="285">
        <v>11829.883</v>
      </c>
      <c r="E10" s="304">
        <f t="shared" si="0"/>
        <v>6730</v>
      </c>
      <c r="F10" s="304">
        <f t="shared" si="1"/>
        <v>2622</v>
      </c>
      <c r="G10" s="276"/>
      <c r="H10" s="292"/>
      <c r="I10" s="285"/>
      <c r="J10" s="285"/>
      <c r="K10" s="293"/>
      <c r="L10" s="292"/>
      <c r="M10" s="285"/>
      <c r="N10" s="285"/>
      <c r="O10" s="293"/>
      <c r="P10" s="292"/>
      <c r="Q10" s="285"/>
      <c r="R10" s="285">
        <v>0</v>
      </c>
      <c r="S10" s="293">
        <v>0</v>
      </c>
      <c r="T10" s="292"/>
      <c r="U10" s="285"/>
      <c r="V10" s="285">
        <v>0</v>
      </c>
      <c r="W10" s="293">
        <v>0</v>
      </c>
      <c r="X10" s="292">
        <v>0</v>
      </c>
      <c r="Y10" s="285">
        <v>512</v>
      </c>
      <c r="Z10" s="285">
        <v>1058</v>
      </c>
      <c r="AA10" s="293">
        <v>1052</v>
      </c>
      <c r="AB10" s="292">
        <v>1081</v>
      </c>
      <c r="AC10" s="285">
        <v>1270</v>
      </c>
      <c r="AD10" s="285">
        <v>2034</v>
      </c>
      <c r="AE10" s="293">
        <v>2345</v>
      </c>
      <c r="AF10" s="316">
        <v>2373</v>
      </c>
      <c r="AG10" s="275">
        <v>2977</v>
      </c>
      <c r="AH10" s="285">
        <v>3065</v>
      </c>
      <c r="AI10" s="293">
        <v>3414.883</v>
      </c>
      <c r="AR10" s="275"/>
      <c r="AV10" s="201"/>
      <c r="AW10" s="298"/>
      <c r="AX10" s="276"/>
      <c r="AY10" s="234"/>
      <c r="AZ10" s="275"/>
      <c r="BA10" s="275"/>
      <c r="BB10" s="58"/>
      <c r="BK10" s="3"/>
    </row>
    <row r="11" spans="1:63" ht="12.75" customHeight="1">
      <c r="A11" s="83"/>
      <c r="B11" s="148" t="s">
        <v>134</v>
      </c>
      <c r="C11" s="284">
        <v>350.325</v>
      </c>
      <c r="D11" s="285">
        <v>435.868</v>
      </c>
      <c r="E11" s="304">
        <f t="shared" si="0"/>
        <v>246</v>
      </c>
      <c r="F11" s="304">
        <f t="shared" si="1"/>
        <v>186</v>
      </c>
      <c r="G11" s="276"/>
      <c r="H11" s="292"/>
      <c r="I11" s="285">
        <v>47</v>
      </c>
      <c r="J11" s="285">
        <v>23</v>
      </c>
      <c r="K11" s="293">
        <v>35</v>
      </c>
      <c r="L11" s="292">
        <v>26</v>
      </c>
      <c r="M11" s="285">
        <v>55</v>
      </c>
      <c r="N11" s="285">
        <v>49</v>
      </c>
      <c r="O11" s="293">
        <v>72</v>
      </c>
      <c r="P11" s="292">
        <v>45</v>
      </c>
      <c r="Q11" s="285">
        <v>74</v>
      </c>
      <c r="R11" s="285">
        <v>53</v>
      </c>
      <c r="S11" s="293">
        <v>54</v>
      </c>
      <c r="T11" s="292">
        <v>61</v>
      </c>
      <c r="U11" s="285">
        <v>70</v>
      </c>
      <c r="V11" s="285">
        <v>50</v>
      </c>
      <c r="W11" s="293">
        <v>59</v>
      </c>
      <c r="X11" s="292">
        <v>47</v>
      </c>
      <c r="Y11" s="285">
        <v>40</v>
      </c>
      <c r="Z11" s="285">
        <v>52</v>
      </c>
      <c r="AA11" s="293">
        <v>47</v>
      </c>
      <c r="AB11" s="292">
        <v>48</v>
      </c>
      <c r="AC11" s="285">
        <v>57</v>
      </c>
      <c r="AD11" s="285">
        <v>75</v>
      </c>
      <c r="AE11" s="293">
        <v>66</v>
      </c>
      <c r="AF11" s="316">
        <v>80</v>
      </c>
      <c r="AG11" s="275">
        <v>119</v>
      </c>
      <c r="AH11" s="285">
        <v>165</v>
      </c>
      <c r="AI11" s="293">
        <v>71.868</v>
      </c>
      <c r="AR11" s="275"/>
      <c r="AV11" s="201"/>
      <c r="AW11" s="298"/>
      <c r="AX11" s="276"/>
      <c r="AY11" s="234"/>
      <c r="AZ11" s="275"/>
      <c r="BA11" s="275"/>
      <c r="BB11" s="58"/>
      <c r="BK11" s="3"/>
    </row>
    <row r="12" spans="1:63" ht="12.75" customHeight="1">
      <c r="A12" s="83"/>
      <c r="B12" s="148" t="s">
        <v>135</v>
      </c>
      <c r="C12" s="284">
        <v>11918.429</v>
      </c>
      <c r="D12" s="285">
        <v>14487.359</v>
      </c>
      <c r="E12" s="304">
        <f t="shared" si="0"/>
        <v>12574</v>
      </c>
      <c r="F12" s="304">
        <f t="shared" si="1"/>
        <v>10750</v>
      </c>
      <c r="G12" s="276"/>
      <c r="H12" s="292"/>
      <c r="I12" s="285">
        <v>2185</v>
      </c>
      <c r="J12" s="285">
        <v>2176</v>
      </c>
      <c r="K12" s="293">
        <v>2259</v>
      </c>
      <c r="L12" s="292">
        <v>2546</v>
      </c>
      <c r="M12" s="285">
        <v>3251</v>
      </c>
      <c r="N12" s="285">
        <v>3336</v>
      </c>
      <c r="O12" s="293">
        <v>3588</v>
      </c>
      <c r="P12" s="292">
        <v>3505</v>
      </c>
      <c r="Q12" s="285">
        <v>3366</v>
      </c>
      <c r="R12" s="285">
        <v>3555</v>
      </c>
      <c r="S12" s="293">
        <v>3560</v>
      </c>
      <c r="T12" s="292">
        <v>3389</v>
      </c>
      <c r="U12" s="285">
        <v>3141</v>
      </c>
      <c r="V12" s="285">
        <v>2996</v>
      </c>
      <c r="W12" s="293">
        <v>3052</v>
      </c>
      <c r="X12" s="292">
        <v>2877</v>
      </c>
      <c r="Y12" s="285">
        <v>2771</v>
      </c>
      <c r="Z12" s="285">
        <v>2657</v>
      </c>
      <c r="AA12" s="293">
        <v>2445</v>
      </c>
      <c r="AB12" s="292">
        <v>2369</v>
      </c>
      <c r="AC12" s="285">
        <v>2812</v>
      </c>
      <c r="AD12" s="285">
        <v>3649</v>
      </c>
      <c r="AE12" s="293">
        <v>3744</v>
      </c>
      <c r="AF12" s="316">
        <v>3697</v>
      </c>
      <c r="AG12" s="275">
        <v>3674</v>
      </c>
      <c r="AH12" s="285">
        <v>3563</v>
      </c>
      <c r="AI12" s="293">
        <v>3553.359</v>
      </c>
      <c r="AR12" s="275"/>
      <c r="AV12" s="201"/>
      <c r="AW12" s="298"/>
      <c r="AX12" s="276"/>
      <c r="AY12" s="234"/>
      <c r="AZ12" s="275"/>
      <c r="BA12" s="275"/>
      <c r="BB12" s="58"/>
      <c r="BK12" s="3"/>
    </row>
    <row r="13" spans="1:63" ht="12.75" customHeight="1">
      <c r="A13" s="83"/>
      <c r="B13" s="148" t="s">
        <v>254</v>
      </c>
      <c r="C13" s="284">
        <v>0</v>
      </c>
      <c r="D13" s="285">
        <v>0</v>
      </c>
      <c r="E13" s="304">
        <f t="shared" si="0"/>
        <v>0</v>
      </c>
      <c r="F13" s="304">
        <f t="shared" si="1"/>
        <v>0</v>
      </c>
      <c r="G13" s="276"/>
      <c r="H13" s="292"/>
      <c r="I13" s="285">
        <v>2490</v>
      </c>
      <c r="J13" s="285">
        <v>2755</v>
      </c>
      <c r="K13" s="293">
        <v>2372</v>
      </c>
      <c r="L13" s="292">
        <v>1722</v>
      </c>
      <c r="M13" s="285">
        <v>1680</v>
      </c>
      <c r="N13" s="285">
        <v>1514</v>
      </c>
      <c r="O13" s="293">
        <v>1433</v>
      </c>
      <c r="P13" s="292">
        <v>1365</v>
      </c>
      <c r="Q13" s="285">
        <v>1199</v>
      </c>
      <c r="R13" s="285">
        <v>1154</v>
      </c>
      <c r="S13" s="293">
        <v>1079</v>
      </c>
      <c r="T13" s="292">
        <v>977</v>
      </c>
      <c r="U13" s="285">
        <v>887</v>
      </c>
      <c r="V13" s="285">
        <v>0</v>
      </c>
      <c r="W13" s="293">
        <v>0</v>
      </c>
      <c r="X13" s="292">
        <v>0</v>
      </c>
      <c r="Y13" s="285"/>
      <c r="Z13" s="285"/>
      <c r="AA13" s="293"/>
      <c r="AB13" s="292"/>
      <c r="AC13" s="285"/>
      <c r="AD13" s="285"/>
      <c r="AE13" s="293"/>
      <c r="AF13" s="316">
        <v>0</v>
      </c>
      <c r="AG13" s="275">
        <v>0</v>
      </c>
      <c r="AH13" s="285">
        <v>0</v>
      </c>
      <c r="AI13" s="293">
        <v>0</v>
      </c>
      <c r="AR13" s="275"/>
      <c r="AV13" s="201"/>
      <c r="AW13" s="298"/>
      <c r="AX13" s="276"/>
      <c r="AY13" s="234"/>
      <c r="AZ13" s="275"/>
      <c r="BA13" s="275"/>
      <c r="BB13" s="58"/>
      <c r="BK13" s="3"/>
    </row>
    <row r="14" spans="1:63" ht="12.75" customHeight="1">
      <c r="A14" s="83"/>
      <c r="B14" s="148" t="s">
        <v>136</v>
      </c>
      <c r="C14" s="284">
        <v>0</v>
      </c>
      <c r="D14" s="285">
        <v>0</v>
      </c>
      <c r="E14" s="304">
        <f t="shared" si="0"/>
        <v>0</v>
      </c>
      <c r="F14" s="304">
        <f t="shared" si="1"/>
        <v>0</v>
      </c>
      <c r="G14" s="276"/>
      <c r="H14" s="292"/>
      <c r="I14" s="285"/>
      <c r="J14" s="285"/>
      <c r="K14" s="293"/>
      <c r="L14" s="292"/>
      <c r="M14" s="285"/>
      <c r="N14" s="285"/>
      <c r="O14" s="293"/>
      <c r="P14" s="292"/>
      <c r="Q14" s="285"/>
      <c r="R14" s="285"/>
      <c r="S14" s="293"/>
      <c r="T14" s="292"/>
      <c r="U14" s="285"/>
      <c r="V14" s="285">
        <v>0</v>
      </c>
      <c r="W14" s="293">
        <v>0</v>
      </c>
      <c r="X14" s="292">
        <v>0</v>
      </c>
      <c r="Y14" s="285"/>
      <c r="Z14" s="285"/>
      <c r="AA14" s="293"/>
      <c r="AB14" s="292"/>
      <c r="AC14" s="285"/>
      <c r="AD14" s="285"/>
      <c r="AE14" s="293"/>
      <c r="AF14" s="316">
        <v>0</v>
      </c>
      <c r="AG14" s="275">
        <v>0</v>
      </c>
      <c r="AH14" s="285">
        <v>0</v>
      </c>
      <c r="AI14" s="293">
        <v>0</v>
      </c>
      <c r="AR14" s="275"/>
      <c r="AV14" s="201"/>
      <c r="AW14" s="298"/>
      <c r="AX14" s="276"/>
      <c r="AY14" s="234"/>
      <c r="AZ14" s="275"/>
      <c r="BA14" s="275"/>
      <c r="BB14" s="58"/>
      <c r="BK14" s="3"/>
    </row>
    <row r="15" spans="1:63" ht="12.75" customHeight="1">
      <c r="A15" s="83"/>
      <c r="B15" s="148" t="s">
        <v>137</v>
      </c>
      <c r="C15" s="284">
        <v>5875.544999999999</v>
      </c>
      <c r="D15" s="285">
        <v>7160.1849999999995</v>
      </c>
      <c r="E15" s="304">
        <f t="shared" si="0"/>
        <v>6528</v>
      </c>
      <c r="F15" s="304">
        <f t="shared" si="1"/>
        <v>7149</v>
      </c>
      <c r="G15" s="276"/>
      <c r="H15" s="292"/>
      <c r="I15" s="285">
        <v>2090</v>
      </c>
      <c r="J15" s="285">
        <v>1975</v>
      </c>
      <c r="K15" s="293">
        <v>2123</v>
      </c>
      <c r="L15" s="292">
        <v>2380</v>
      </c>
      <c r="M15" s="285">
        <v>2796</v>
      </c>
      <c r="N15" s="285">
        <v>2725</v>
      </c>
      <c r="O15" s="293">
        <v>2865</v>
      </c>
      <c r="P15" s="292">
        <v>2801</v>
      </c>
      <c r="Q15" s="285">
        <v>2660</v>
      </c>
      <c r="R15" s="285">
        <v>2510</v>
      </c>
      <c r="S15" s="293">
        <v>2594</v>
      </c>
      <c r="T15" s="292">
        <v>2322</v>
      </c>
      <c r="U15" s="285">
        <v>1923</v>
      </c>
      <c r="V15" s="285">
        <v>2481</v>
      </c>
      <c r="W15" s="293">
        <v>2202</v>
      </c>
      <c r="X15" s="292">
        <v>2058</v>
      </c>
      <c r="Y15" s="285">
        <v>1814</v>
      </c>
      <c r="Z15" s="285">
        <v>1766</v>
      </c>
      <c r="AA15" s="293">
        <v>1511</v>
      </c>
      <c r="AB15" s="292">
        <v>1327</v>
      </c>
      <c r="AC15" s="285">
        <v>1387</v>
      </c>
      <c r="AD15" s="285">
        <v>1813</v>
      </c>
      <c r="AE15" s="293">
        <v>2001</v>
      </c>
      <c r="AF15" s="316">
        <v>1839</v>
      </c>
      <c r="AG15" s="275">
        <v>1835</v>
      </c>
      <c r="AH15" s="285">
        <v>1818</v>
      </c>
      <c r="AI15" s="293">
        <v>1668.185</v>
      </c>
      <c r="AR15" s="275"/>
      <c r="AV15" s="201"/>
      <c r="AW15" s="298"/>
      <c r="AX15" s="276"/>
      <c r="AY15" s="234"/>
      <c r="AZ15" s="275"/>
      <c r="BA15" s="275"/>
      <c r="BB15" s="58"/>
      <c r="BK15" s="3"/>
    </row>
    <row r="16" spans="1:63" ht="12.75" customHeight="1">
      <c r="A16" s="83"/>
      <c r="B16" s="83" t="s">
        <v>253</v>
      </c>
      <c r="C16" s="286">
        <v>0</v>
      </c>
      <c r="D16" s="287">
        <v>0</v>
      </c>
      <c r="E16" s="305">
        <f t="shared" si="0"/>
        <v>0</v>
      </c>
      <c r="F16" s="305">
        <f t="shared" si="1"/>
        <v>0</v>
      </c>
      <c r="G16" s="320"/>
      <c r="H16" s="294"/>
      <c r="I16" s="287">
        <v>603</v>
      </c>
      <c r="J16" s="287">
        <v>409</v>
      </c>
      <c r="K16" s="295">
        <v>409</v>
      </c>
      <c r="L16" s="294">
        <v>408</v>
      </c>
      <c r="M16" s="287">
        <v>678</v>
      </c>
      <c r="N16" s="287">
        <v>787</v>
      </c>
      <c r="O16" s="295">
        <v>433</v>
      </c>
      <c r="P16" s="294">
        <v>612</v>
      </c>
      <c r="Q16" s="287">
        <v>617</v>
      </c>
      <c r="R16" s="287">
        <v>747</v>
      </c>
      <c r="S16" s="295">
        <v>745</v>
      </c>
      <c r="T16" s="294">
        <v>745</v>
      </c>
      <c r="U16" s="287">
        <v>745</v>
      </c>
      <c r="V16" s="287">
        <v>0</v>
      </c>
      <c r="W16" s="295">
        <v>0</v>
      </c>
      <c r="X16" s="294"/>
      <c r="Y16" s="287"/>
      <c r="Z16" s="287"/>
      <c r="AA16" s="295"/>
      <c r="AB16" s="294"/>
      <c r="AC16" s="287"/>
      <c r="AD16" s="287"/>
      <c r="AE16" s="295"/>
      <c r="AF16" s="318">
        <v>0</v>
      </c>
      <c r="AG16" s="313">
        <v>0</v>
      </c>
      <c r="AH16" s="287">
        <v>0</v>
      </c>
      <c r="AI16" s="295">
        <v>0</v>
      </c>
      <c r="AR16" s="275"/>
      <c r="AV16" s="201"/>
      <c r="AW16" s="298"/>
      <c r="AX16" s="276"/>
      <c r="AY16" s="234"/>
      <c r="AZ16" s="275"/>
      <c r="BA16" s="275"/>
      <c r="BB16" s="58"/>
      <c r="BK16" s="3"/>
    </row>
    <row r="17" spans="1:63" ht="12.75" customHeight="1">
      <c r="A17" s="258"/>
      <c r="B17" s="274"/>
      <c r="C17" s="284">
        <f>SUM(C6:C16)</f>
        <v>32568.409</v>
      </c>
      <c r="D17" s="285">
        <f>SUM(D6:D16)</f>
        <v>36541.433</v>
      </c>
      <c r="E17" s="304">
        <f t="shared" si="0"/>
        <v>29161</v>
      </c>
      <c r="F17" s="304">
        <f t="shared" si="1"/>
        <v>24004</v>
      </c>
      <c r="G17" s="276"/>
      <c r="H17" s="292">
        <f aca="true" t="shared" si="2" ref="H17:O17">SUM(H6:H16)</f>
        <v>0</v>
      </c>
      <c r="I17" s="292">
        <f t="shared" si="2"/>
        <v>8968</v>
      </c>
      <c r="J17" s="292">
        <f t="shared" si="2"/>
        <v>8734</v>
      </c>
      <c r="K17" s="292">
        <f t="shared" si="2"/>
        <v>8545</v>
      </c>
      <c r="L17" s="292">
        <f t="shared" si="2"/>
        <v>8374</v>
      </c>
      <c r="M17" s="285">
        <f t="shared" si="2"/>
        <v>9855</v>
      </c>
      <c r="N17" s="285">
        <f t="shared" si="2"/>
        <v>9689</v>
      </c>
      <c r="O17" s="293">
        <f t="shared" si="2"/>
        <v>9662</v>
      </c>
      <c r="P17" s="292">
        <f aca="true" t="shared" si="3" ref="P17:W17">SUM(P6:P16)</f>
        <v>9529</v>
      </c>
      <c r="Q17" s="285">
        <f t="shared" si="3"/>
        <v>8860</v>
      </c>
      <c r="R17" s="285">
        <f>SUM(R6:R16)</f>
        <v>9195</v>
      </c>
      <c r="S17" s="293">
        <f t="shared" si="3"/>
        <v>9292</v>
      </c>
      <c r="T17" s="292">
        <f t="shared" si="3"/>
        <v>8766</v>
      </c>
      <c r="U17" s="285">
        <f t="shared" si="3"/>
        <v>8063</v>
      </c>
      <c r="V17" s="285">
        <f t="shared" si="3"/>
        <v>6789</v>
      </c>
      <c r="W17" s="293">
        <f t="shared" si="3"/>
        <v>6630</v>
      </c>
      <c r="X17" s="292">
        <f aca="true" t="shared" si="4" ref="X17:AI17">SUM(X6:X16)</f>
        <v>6294</v>
      </c>
      <c r="Y17" s="285">
        <f t="shared" si="4"/>
        <v>6058</v>
      </c>
      <c r="Z17" s="285">
        <f t="shared" si="4"/>
        <v>6088</v>
      </c>
      <c r="AA17" s="293">
        <f t="shared" si="4"/>
        <v>5564</v>
      </c>
      <c r="AB17" s="292">
        <f t="shared" si="4"/>
        <v>5414</v>
      </c>
      <c r="AC17" s="285">
        <f t="shared" si="4"/>
        <v>6185</v>
      </c>
      <c r="AD17" s="285">
        <f t="shared" si="4"/>
        <v>8455</v>
      </c>
      <c r="AE17" s="293">
        <f t="shared" si="4"/>
        <v>9107</v>
      </c>
      <c r="AF17" s="316">
        <f t="shared" si="4"/>
        <v>8867</v>
      </c>
      <c r="AG17" s="275">
        <f t="shared" si="4"/>
        <v>9377</v>
      </c>
      <c r="AH17" s="285">
        <f t="shared" si="4"/>
        <v>9201</v>
      </c>
      <c r="AI17" s="293">
        <f t="shared" si="4"/>
        <v>9096.432999999999</v>
      </c>
      <c r="AR17" s="275"/>
      <c r="AV17" s="201"/>
      <c r="AW17" s="298"/>
      <c r="AX17" s="276"/>
      <c r="AY17" s="234"/>
      <c r="AZ17" s="275"/>
      <c r="BA17" s="275"/>
      <c r="BB17" s="58"/>
      <c r="BK17" s="3"/>
    </row>
    <row r="18" spans="1:63" ht="18" customHeight="1">
      <c r="A18" s="258"/>
      <c r="B18" s="274"/>
      <c r="C18" s="284"/>
      <c r="D18" s="285"/>
      <c r="E18" s="304"/>
      <c r="F18" s="304"/>
      <c r="G18" s="276"/>
      <c r="H18" s="292"/>
      <c r="I18" s="285"/>
      <c r="J18" s="285"/>
      <c r="K18" s="293"/>
      <c r="L18" s="292"/>
      <c r="M18" s="285"/>
      <c r="N18" s="285"/>
      <c r="O18" s="293"/>
      <c r="P18" s="292"/>
      <c r="Q18" s="285"/>
      <c r="R18" s="285"/>
      <c r="S18" s="293"/>
      <c r="T18" s="292"/>
      <c r="U18" s="285"/>
      <c r="V18" s="285"/>
      <c r="W18" s="293"/>
      <c r="X18" s="292"/>
      <c r="Y18" s="285"/>
      <c r="Z18" s="285"/>
      <c r="AA18" s="293"/>
      <c r="AB18" s="292"/>
      <c r="AC18" s="285"/>
      <c r="AD18" s="285"/>
      <c r="AE18" s="293"/>
      <c r="AF18" s="316"/>
      <c r="AG18" s="275"/>
      <c r="AH18" s="285"/>
      <c r="AI18" s="293"/>
      <c r="AR18" s="275"/>
      <c r="AV18" s="201"/>
      <c r="AW18" s="298"/>
      <c r="AX18" s="276"/>
      <c r="AY18" s="234"/>
      <c r="AZ18" s="275"/>
      <c r="BA18" s="275"/>
      <c r="BB18" s="58"/>
      <c r="BK18" s="3"/>
    </row>
    <row r="19" spans="1:63" ht="12.75" customHeight="1">
      <c r="A19" s="144"/>
      <c r="B19" s="307" t="s">
        <v>232</v>
      </c>
      <c r="C19" s="284">
        <v>272619</v>
      </c>
      <c r="D19" s="285">
        <v>249127</v>
      </c>
      <c r="E19" s="304" t="e">
        <f>AB19+AC19+AD19+AE19</f>
        <v>#REF!</v>
      </c>
      <c r="F19" s="304" t="e">
        <f>AA19+Z19+Y19+X19</f>
        <v>#REF!</v>
      </c>
      <c r="G19" s="276"/>
      <c r="H19" s="308" t="e">
        <f>+#REF!</f>
        <v>#REF!</v>
      </c>
      <c r="I19" s="309">
        <f>+'8 CWM Canada'!G16</f>
        <v>27719</v>
      </c>
      <c r="J19" s="309">
        <f>+'8 CWM Canada'!H16</f>
        <v>24413</v>
      </c>
      <c r="K19" s="310">
        <f>+'8 CWM Canada'!I16</f>
        <v>26842</v>
      </c>
      <c r="L19" s="308">
        <f>+'8 CWM Canada'!J16</f>
        <v>32223</v>
      </c>
      <c r="M19" s="308">
        <f>+'8 CWM Canada'!K16</f>
        <v>35051</v>
      </c>
      <c r="N19" s="308">
        <f>+'8 CWM Canada'!L16</f>
        <v>35814</v>
      </c>
      <c r="O19" s="308">
        <f>+'8 CWM Canada'!M16</f>
        <v>36767</v>
      </c>
      <c r="P19" s="308" t="e">
        <f>#REF!</f>
        <v>#REF!</v>
      </c>
      <c r="Q19" s="309" t="e">
        <f>#REF!</f>
        <v>#REF!</v>
      </c>
      <c r="R19" s="309" t="e">
        <f>#REF!</f>
        <v>#REF!</v>
      </c>
      <c r="S19" s="310" t="e">
        <f>#REF!</f>
        <v>#REF!</v>
      </c>
      <c r="T19" s="308" t="e">
        <f>#REF!</f>
        <v>#REF!</v>
      </c>
      <c r="U19" s="309" t="e">
        <f>#REF!</f>
        <v>#REF!</v>
      </c>
      <c r="V19" s="309" t="e">
        <f>#REF!</f>
        <v>#REF!</v>
      </c>
      <c r="W19" s="310" t="e">
        <f>#REF!</f>
        <v>#REF!</v>
      </c>
      <c r="X19" s="308" t="e">
        <f>#REF!</f>
        <v>#REF!</v>
      </c>
      <c r="Y19" s="309" t="e">
        <f>#REF!</f>
        <v>#REF!</v>
      </c>
      <c r="Z19" s="309" t="e">
        <f>#REF!</f>
        <v>#REF!</v>
      </c>
      <c r="AA19" s="310" t="e">
        <f>#REF!</f>
        <v>#REF!</v>
      </c>
      <c r="AB19" s="308" t="e">
        <f>#REF!</f>
        <v>#REF!</v>
      </c>
      <c r="AC19" s="309" t="e">
        <f>#REF!</f>
        <v>#REF!</v>
      </c>
      <c r="AD19" s="309" t="e">
        <f>#REF!</f>
        <v>#REF!</v>
      </c>
      <c r="AE19" s="310" t="e">
        <f>#REF!</f>
        <v>#REF!</v>
      </c>
      <c r="AF19" s="317">
        <v>54463</v>
      </c>
      <c r="AG19" s="311">
        <v>61166</v>
      </c>
      <c r="AH19" s="309">
        <v>57415</v>
      </c>
      <c r="AI19" s="310">
        <v>76083</v>
      </c>
      <c r="AR19" s="312"/>
      <c r="AV19" s="201"/>
      <c r="AW19" s="298"/>
      <c r="AX19" s="276"/>
      <c r="AY19" s="234"/>
      <c r="AZ19" s="275"/>
      <c r="BA19" s="275"/>
      <c r="BB19" s="58"/>
      <c r="BK19" s="3"/>
    </row>
    <row r="20" spans="1:64" ht="12.75" customHeight="1" thickBot="1">
      <c r="A20" s="83"/>
      <c r="B20" s="83" t="s">
        <v>233</v>
      </c>
      <c r="C20" s="299">
        <f>C17/C19</f>
        <v>0.11946492724278204</v>
      </c>
      <c r="D20" s="301">
        <f>D17/D19</f>
        <v>0.1466779313362261</v>
      </c>
      <c r="E20" s="306" t="e">
        <f>E17/E19</f>
        <v>#REF!</v>
      </c>
      <c r="F20" s="306" t="e">
        <f>F17/F19</f>
        <v>#REF!</v>
      </c>
      <c r="G20" s="279"/>
      <c r="H20" s="321" t="e">
        <f>(H17)/H19</f>
        <v>#REF!</v>
      </c>
      <c r="I20" s="322">
        <f>(I17)/I19</f>
        <v>0.32353259497095854</v>
      </c>
      <c r="J20" s="322">
        <f>(J17)/J19</f>
        <v>0.3577602097243272</v>
      </c>
      <c r="K20" s="323">
        <f>(K17)/K19</f>
        <v>0.3183443856642575</v>
      </c>
      <c r="L20" s="321">
        <f>(L17)/L19</f>
        <v>0.2598764857399994</v>
      </c>
      <c r="M20" s="322">
        <f>M17/M19</f>
        <v>0.28116173575646913</v>
      </c>
      <c r="N20" s="322">
        <f>N17/N19</f>
        <v>0.27053666164069917</v>
      </c>
      <c r="O20" s="323">
        <f>O17/O19</f>
        <v>0.2627900019038812</v>
      </c>
      <c r="P20" s="321" t="e">
        <f>(P17)/P19</f>
        <v>#REF!</v>
      </c>
      <c r="Q20" s="322" t="e">
        <f aca="true" t="shared" si="5" ref="Q20:AI20">Q17/Q19</f>
        <v>#REF!</v>
      </c>
      <c r="R20" s="322" t="e">
        <f t="shared" si="5"/>
        <v>#REF!</v>
      </c>
      <c r="S20" s="323" t="e">
        <f t="shared" si="5"/>
        <v>#REF!</v>
      </c>
      <c r="T20" s="321" t="e">
        <f t="shared" si="5"/>
        <v>#REF!</v>
      </c>
      <c r="U20" s="322" t="e">
        <f t="shared" si="5"/>
        <v>#REF!</v>
      </c>
      <c r="V20" s="322" t="e">
        <f t="shared" si="5"/>
        <v>#REF!</v>
      </c>
      <c r="W20" s="323" t="e">
        <f t="shared" si="5"/>
        <v>#REF!</v>
      </c>
      <c r="X20" s="321" t="e">
        <f t="shared" si="5"/>
        <v>#REF!</v>
      </c>
      <c r="Y20" s="322" t="e">
        <f t="shared" si="5"/>
        <v>#REF!</v>
      </c>
      <c r="Z20" s="322" t="e">
        <f t="shared" si="5"/>
        <v>#REF!</v>
      </c>
      <c r="AA20" s="323" t="e">
        <f t="shared" si="5"/>
        <v>#REF!</v>
      </c>
      <c r="AB20" s="321" t="e">
        <f t="shared" si="5"/>
        <v>#REF!</v>
      </c>
      <c r="AC20" s="322" t="e">
        <f t="shared" si="5"/>
        <v>#REF!</v>
      </c>
      <c r="AD20" s="322" t="e">
        <f t="shared" si="5"/>
        <v>#REF!</v>
      </c>
      <c r="AE20" s="323" t="e">
        <f t="shared" si="5"/>
        <v>#REF!</v>
      </c>
      <c r="AF20" s="325">
        <f t="shared" si="5"/>
        <v>0.16280777775737656</v>
      </c>
      <c r="AG20" s="324">
        <f t="shared" si="5"/>
        <v>0.15330412320570252</v>
      </c>
      <c r="AH20" s="322">
        <f t="shared" si="5"/>
        <v>0.16025428894888094</v>
      </c>
      <c r="AI20" s="323">
        <f t="shared" si="5"/>
        <v>0.11955933651407015</v>
      </c>
      <c r="AR20" s="277"/>
      <c r="AV20" s="303"/>
      <c r="AW20" s="300"/>
      <c r="AX20" s="279"/>
      <c r="AY20" s="278"/>
      <c r="AZ20" s="277"/>
      <c r="BA20" s="277"/>
      <c r="BB20" s="280"/>
      <c r="BC20" s="281"/>
      <c r="BD20" s="281"/>
      <c r="BE20" s="281"/>
      <c r="BF20" s="281"/>
      <c r="BG20" s="281"/>
      <c r="BH20" s="281"/>
      <c r="BI20" s="281"/>
      <c r="BJ20" s="281"/>
      <c r="BK20" s="282"/>
      <c r="BL20" s="281"/>
    </row>
    <row r="21" spans="1:63" s="96" customFormat="1" ht="12.75" customHeight="1">
      <c r="A21" s="266"/>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254"/>
      <c r="AG21" s="41"/>
      <c r="AH21" s="35"/>
      <c r="AI21" s="35"/>
      <c r="AJ21" s="35"/>
      <c r="AK21" s="35"/>
      <c r="AL21" s="35"/>
      <c r="AM21" s="120"/>
      <c r="AN21" s="120"/>
      <c r="AO21" s="120"/>
      <c r="AP21" s="120"/>
      <c r="AQ21" s="120"/>
      <c r="AR21" s="120"/>
      <c r="AS21" s="120"/>
      <c r="AT21" s="120"/>
      <c r="AU21" s="35"/>
      <c r="AV21" s="254"/>
      <c r="AW21" s="41"/>
      <c r="AX21" s="35"/>
      <c r="AY21" s="35"/>
      <c r="AZ21" s="120"/>
      <c r="BA21" s="120"/>
      <c r="BB21" s="143"/>
      <c r="BK21" s="210"/>
    </row>
    <row r="22" spans="1:63" s="96" customFormat="1" ht="12.75" customHeight="1">
      <c r="A22" s="1464"/>
      <c r="B22" s="1465"/>
      <c r="C22" s="267"/>
      <c r="D22" s="267"/>
      <c r="E22" s="267"/>
      <c r="F22" s="267"/>
      <c r="G22" s="267"/>
      <c r="H22" s="458" t="s">
        <v>182</v>
      </c>
      <c r="I22" s="459" t="s">
        <v>181</v>
      </c>
      <c r="J22" s="459" t="s">
        <v>180</v>
      </c>
      <c r="K22" s="459"/>
      <c r="L22" s="458" t="s">
        <v>182</v>
      </c>
      <c r="M22" s="459" t="s">
        <v>181</v>
      </c>
      <c r="N22" s="459" t="s">
        <v>180</v>
      </c>
      <c r="O22" s="459"/>
      <c r="P22" s="458" t="s">
        <v>182</v>
      </c>
      <c r="Q22" s="459" t="s">
        <v>181</v>
      </c>
      <c r="R22" s="459" t="s">
        <v>180</v>
      </c>
      <c r="S22" s="459"/>
      <c r="T22" s="458" t="s">
        <v>182</v>
      </c>
      <c r="U22" s="459" t="s">
        <v>181</v>
      </c>
      <c r="V22" s="459" t="s">
        <v>180</v>
      </c>
      <c r="W22" s="459"/>
      <c r="X22" s="458" t="s">
        <v>182</v>
      </c>
      <c r="Y22" s="459" t="s">
        <v>181</v>
      </c>
      <c r="Z22" s="459" t="s">
        <v>180</v>
      </c>
      <c r="AB22" s="458" t="s">
        <v>182</v>
      </c>
      <c r="AC22" s="459" t="s">
        <v>181</v>
      </c>
      <c r="AD22" s="459" t="s">
        <v>180</v>
      </c>
      <c r="AE22" s="267"/>
      <c r="AF22" s="458" t="s">
        <v>182</v>
      </c>
      <c r="AG22" s="459" t="s">
        <v>181</v>
      </c>
      <c r="AH22" s="459" t="s">
        <v>180</v>
      </c>
      <c r="AI22" s="35"/>
      <c r="AJ22" s="35"/>
      <c r="AK22" s="35"/>
      <c r="AL22" s="35"/>
      <c r="AM22" s="120"/>
      <c r="AN22" s="120"/>
      <c r="AO22" s="120"/>
      <c r="AP22" s="120"/>
      <c r="AQ22" s="120"/>
      <c r="AR22" s="120"/>
      <c r="AS22" s="120"/>
      <c r="AT22" s="120"/>
      <c r="AU22" s="35"/>
      <c r="AV22" s="254"/>
      <c r="AW22" s="41"/>
      <c r="AX22" s="35"/>
      <c r="AY22" s="35"/>
      <c r="AZ22" s="120"/>
      <c r="BA22" s="120"/>
      <c r="BB22" s="143"/>
      <c r="BK22" s="210"/>
    </row>
    <row r="23" spans="1:63" s="96" customFormat="1" ht="12.75" customHeight="1">
      <c r="A23" s="266"/>
      <c r="B23" s="115" t="s">
        <v>234</v>
      </c>
      <c r="C23" s="144"/>
      <c r="D23" s="144"/>
      <c r="E23" s="144"/>
      <c r="F23" s="144"/>
      <c r="G23" s="144"/>
      <c r="H23" s="460">
        <f>H17+I17+J17+K17</f>
        <v>26247</v>
      </c>
      <c r="I23" s="460">
        <f>I17+J17+K17</f>
        <v>26247</v>
      </c>
      <c r="J23" s="460">
        <f>J17+K17</f>
        <v>17279</v>
      </c>
      <c r="K23" s="460"/>
      <c r="L23" s="460">
        <f>L17+M17+N17+O17</f>
        <v>37580</v>
      </c>
      <c r="M23" s="460">
        <f>M17+N17+O17</f>
        <v>29206</v>
      </c>
      <c r="N23" s="460">
        <f>N17+O17</f>
        <v>19351</v>
      </c>
      <c r="O23" s="460"/>
      <c r="P23" s="460">
        <f>P17+Q17+R17+S17</f>
        <v>36876</v>
      </c>
      <c r="Q23" s="460">
        <f>Q17+R17+S17</f>
        <v>27347</v>
      </c>
      <c r="R23" s="460">
        <f>R17+S17</f>
        <v>18487</v>
      </c>
      <c r="S23" s="460"/>
      <c r="T23" s="460">
        <f>T17+U17+V17+W17</f>
        <v>30248</v>
      </c>
      <c r="U23" s="460">
        <f>U17+V17+W17</f>
        <v>21482</v>
      </c>
      <c r="V23" s="460">
        <f>V17+W17</f>
        <v>13419</v>
      </c>
      <c r="W23" s="460"/>
      <c r="X23" s="460">
        <f>X17+Y17+Z17+AA17</f>
        <v>24004</v>
      </c>
      <c r="Y23" s="460">
        <f>Y17+Z17+AA17</f>
        <v>17710</v>
      </c>
      <c r="Z23" s="460">
        <f>Z17+AA17</f>
        <v>11652</v>
      </c>
      <c r="AA23" s="144"/>
      <c r="AB23" s="460">
        <f>AB17+AC17+AD17+AE17</f>
        <v>29161</v>
      </c>
      <c r="AC23" s="460">
        <f>AC17+AD17+AE17</f>
        <v>23747</v>
      </c>
      <c r="AD23" s="460">
        <f>AD17+AE17</f>
        <v>17562</v>
      </c>
      <c r="AE23" s="144"/>
      <c r="AF23" s="254">
        <f>AF17+AG17+AH17+AI17</f>
        <v>36541.433</v>
      </c>
      <c r="AG23" s="254">
        <f>AG17+AH17+AI17</f>
        <v>27674.432999999997</v>
      </c>
      <c r="AH23" s="254">
        <f>AH17+AI17</f>
        <v>18297.432999999997</v>
      </c>
      <c r="AI23" s="35"/>
      <c r="AJ23" s="35"/>
      <c r="AK23" s="35"/>
      <c r="AL23" s="120"/>
      <c r="AM23" s="120"/>
      <c r="AN23" s="120"/>
      <c r="AO23" s="120"/>
      <c r="AP23" s="120"/>
      <c r="AQ23" s="120"/>
      <c r="AR23" s="120"/>
      <c r="AS23" s="120"/>
      <c r="AT23" s="120"/>
      <c r="AU23" s="35"/>
      <c r="AV23" s="254"/>
      <c r="AW23" s="41"/>
      <c r="AX23" s="35"/>
      <c r="AY23" s="35"/>
      <c r="AZ23" s="120"/>
      <c r="BA23" s="120"/>
      <c r="BB23" s="143"/>
      <c r="BK23" s="210"/>
    </row>
    <row r="24" spans="1:63" s="96" customFormat="1" ht="12.75" customHeight="1">
      <c r="A24" s="266"/>
      <c r="B24" s="144" t="s">
        <v>235</v>
      </c>
      <c r="C24" s="144"/>
      <c r="D24" s="144"/>
      <c r="E24" s="144"/>
      <c r="F24" s="144"/>
      <c r="G24" s="144"/>
      <c r="H24" s="460" t="e">
        <f>H19+I19+J19+K19</f>
        <v>#REF!</v>
      </c>
      <c r="I24" s="460">
        <f>I19+J19+K19</f>
        <v>78974</v>
      </c>
      <c r="J24" s="460">
        <f>J19+K19</f>
        <v>51255</v>
      </c>
      <c r="K24" s="460"/>
      <c r="L24" s="460">
        <f>L19+M19+N19+O19</f>
        <v>139855</v>
      </c>
      <c r="M24" s="460">
        <f>M19+N19+O19</f>
        <v>107632</v>
      </c>
      <c r="N24" s="460">
        <f>N19+O19</f>
        <v>72581</v>
      </c>
      <c r="O24" s="460"/>
      <c r="P24" s="460" t="e">
        <f>P19+Q19+R19+S19</f>
        <v>#REF!</v>
      </c>
      <c r="Q24" s="460" t="e">
        <f>Q19+R19+S19</f>
        <v>#REF!</v>
      </c>
      <c r="R24" s="460" t="e">
        <f>R19+S19</f>
        <v>#REF!</v>
      </c>
      <c r="S24" s="460"/>
      <c r="T24" s="460" t="e">
        <f>T19+U19+V19+W19</f>
        <v>#REF!</v>
      </c>
      <c r="U24" s="460" t="e">
        <f>U19+V19+W19</f>
        <v>#REF!</v>
      </c>
      <c r="V24" s="460" t="e">
        <f>V19+W19</f>
        <v>#REF!</v>
      </c>
      <c r="W24" s="460"/>
      <c r="X24" s="460" t="e">
        <f>X19+Y19+Z19+AA19</f>
        <v>#REF!</v>
      </c>
      <c r="Y24" s="460" t="e">
        <f>Y19+Z19+AA19</f>
        <v>#REF!</v>
      </c>
      <c r="Z24" s="460" t="e">
        <f>Z19+AA19</f>
        <v>#REF!</v>
      </c>
      <c r="AA24" s="144"/>
      <c r="AB24" s="460" t="e">
        <f>AE19+AD19+AC19+AB19</f>
        <v>#REF!</v>
      </c>
      <c r="AC24" s="460" t="e">
        <f>AE19+AD19+AC19</f>
        <v>#REF!</v>
      </c>
      <c r="AD24" s="460" t="e">
        <f>AE19+AD19</f>
        <v>#REF!</v>
      </c>
      <c r="AE24" s="144"/>
      <c r="AF24" s="254">
        <f>AI19+AH19+AG19+AF19</f>
        <v>249127</v>
      </c>
      <c r="AG24" s="254">
        <f>AI19+AH19+AG19</f>
        <v>194664</v>
      </c>
      <c r="AH24" s="254">
        <f>AI19+AH19</f>
        <v>133498</v>
      </c>
      <c r="AI24" s="41"/>
      <c r="AJ24" s="41"/>
      <c r="AK24" s="41"/>
      <c r="AL24" s="33"/>
      <c r="AM24" s="120"/>
      <c r="AN24" s="120"/>
      <c r="AO24" s="120"/>
      <c r="AP24" s="120"/>
      <c r="AQ24" s="120"/>
      <c r="AR24" s="120"/>
      <c r="AS24" s="120"/>
      <c r="AT24" s="120"/>
      <c r="AU24" s="243"/>
      <c r="AV24" s="254"/>
      <c r="AW24" s="41"/>
      <c r="AX24" s="243"/>
      <c r="AY24" s="234"/>
      <c r="AZ24" s="120"/>
      <c r="BA24" s="120"/>
      <c r="BB24" s="143"/>
      <c r="BK24" s="210"/>
    </row>
    <row r="25" spans="1:63" ht="12.75" customHeight="1">
      <c r="A25" s="266"/>
      <c r="B25" s="144" t="s">
        <v>183</v>
      </c>
      <c r="C25" s="144"/>
      <c r="D25" s="144"/>
      <c r="E25" s="144"/>
      <c r="F25" s="144"/>
      <c r="G25" s="144"/>
      <c r="H25" s="461" t="e">
        <f>H23/H24</f>
        <v>#REF!</v>
      </c>
      <c r="I25" s="461">
        <f>I23/I24</f>
        <v>0.33234988730468257</v>
      </c>
      <c r="J25" s="461">
        <f>J23/J24</f>
        <v>0.3371183299190323</v>
      </c>
      <c r="K25" s="461"/>
      <c r="L25" s="461">
        <f>L23/L24</f>
        <v>0.26870687497765544</v>
      </c>
      <c r="M25" s="461">
        <f>M23/M24</f>
        <v>0.2713505277240969</v>
      </c>
      <c r="N25" s="461">
        <f>N23/N24</f>
        <v>0.26661247433901436</v>
      </c>
      <c r="O25" s="461"/>
      <c r="P25" s="461" t="e">
        <f>P23/P24</f>
        <v>#REF!</v>
      </c>
      <c r="Q25" s="461" t="e">
        <f>Q23/Q24</f>
        <v>#REF!</v>
      </c>
      <c r="R25" s="461" t="e">
        <f>R23/R24</f>
        <v>#REF!</v>
      </c>
      <c r="S25" s="461"/>
      <c r="T25" s="461" t="e">
        <f>T23/T24</f>
        <v>#REF!</v>
      </c>
      <c r="U25" s="461" t="e">
        <f>U23/U24</f>
        <v>#REF!</v>
      </c>
      <c r="V25" s="461" t="e">
        <f>V23/V24</f>
        <v>#REF!</v>
      </c>
      <c r="W25" s="461"/>
      <c r="X25" s="461" t="e">
        <f>X23/X24</f>
        <v>#REF!</v>
      </c>
      <c r="Y25" s="461" t="e">
        <f>Y23/Y24</f>
        <v>#REF!</v>
      </c>
      <c r="Z25" s="461" t="e">
        <f>Z23/Z24</f>
        <v>#REF!</v>
      </c>
      <c r="AA25" s="144"/>
      <c r="AB25" s="461" t="e">
        <f>AB23/AB24</f>
        <v>#REF!</v>
      </c>
      <c r="AC25" s="461" t="e">
        <f>AC23/AC24</f>
        <v>#REF!</v>
      </c>
      <c r="AD25" s="461" t="e">
        <f>AD23/AD24</f>
        <v>#REF!</v>
      </c>
      <c r="AE25" s="144"/>
      <c r="AF25" s="41">
        <f>AF23/AF24</f>
        <v>0.1466779313362261</v>
      </c>
      <c r="AG25" s="41">
        <f>AG23/AG24</f>
        <v>0.14216513068672174</v>
      </c>
      <c r="AH25" s="41">
        <f>AH23/AH24</f>
        <v>0.1370614765764281</v>
      </c>
      <c r="AI25" s="41"/>
      <c r="AJ25" s="41"/>
      <c r="AK25" s="41"/>
      <c r="AL25" s="123"/>
      <c r="AM25" s="120"/>
      <c r="AN25" s="120"/>
      <c r="AO25" s="120"/>
      <c r="AP25" s="120"/>
      <c r="AQ25" s="120"/>
      <c r="AR25" s="120"/>
      <c r="AS25" s="120"/>
      <c r="AT25" s="120"/>
      <c r="AU25" s="243"/>
      <c r="AV25" s="254"/>
      <c r="AW25" s="41"/>
      <c r="AX25" s="243"/>
      <c r="AY25" s="243"/>
      <c r="AZ25" s="120"/>
      <c r="BA25" s="120"/>
      <c r="BB25" s="58"/>
      <c r="BK25" s="3"/>
    </row>
    <row r="26" spans="1:63" ht="12.75" customHeight="1">
      <c r="A26" s="266"/>
      <c r="B26" s="144"/>
      <c r="C26" s="144"/>
      <c r="D26" s="144"/>
      <c r="E26" s="144"/>
      <c r="F26" s="144"/>
      <c r="G26" s="144"/>
      <c r="H26" s="461"/>
      <c r="I26" s="461"/>
      <c r="J26" s="461"/>
      <c r="K26" s="461"/>
      <c r="L26" s="461"/>
      <c r="M26" s="461"/>
      <c r="N26" s="461"/>
      <c r="O26" s="461"/>
      <c r="P26" s="461"/>
      <c r="Q26" s="461"/>
      <c r="R26" s="461"/>
      <c r="S26" s="461"/>
      <c r="T26" s="461"/>
      <c r="U26" s="461"/>
      <c r="V26" s="461"/>
      <c r="W26" s="461"/>
      <c r="X26" s="461"/>
      <c r="Y26" s="461"/>
      <c r="Z26" s="461"/>
      <c r="AA26" s="144"/>
      <c r="AB26" s="461"/>
      <c r="AC26" s="461"/>
      <c r="AD26" s="461"/>
      <c r="AE26" s="144"/>
      <c r="AF26" s="41"/>
      <c r="AG26" s="41"/>
      <c r="AH26" s="41"/>
      <c r="AI26" s="41"/>
      <c r="AJ26" s="41"/>
      <c r="AK26" s="41"/>
      <c r="AL26" s="123"/>
      <c r="AM26" s="120"/>
      <c r="AN26" s="120"/>
      <c r="AO26" s="120"/>
      <c r="AP26" s="120"/>
      <c r="AQ26" s="120"/>
      <c r="AR26" s="120"/>
      <c r="AS26" s="120"/>
      <c r="AT26" s="120"/>
      <c r="AU26" s="243"/>
      <c r="AV26" s="254"/>
      <c r="AW26" s="41"/>
      <c r="AX26" s="243"/>
      <c r="AY26" s="243"/>
      <c r="AZ26" s="120"/>
      <c r="BA26" s="120"/>
      <c r="BB26" s="58"/>
      <c r="BK26" s="3"/>
    </row>
    <row r="27" spans="32:53" ht="12.75">
      <c r="AF27" s="3"/>
      <c r="AL27" s="3"/>
      <c r="AM27" s="3"/>
      <c r="AN27" s="3"/>
      <c r="AO27" s="3"/>
      <c r="AP27" s="3"/>
      <c r="AQ27" s="3"/>
      <c r="AR27" s="3"/>
      <c r="AS27" s="3"/>
      <c r="AT27" s="2"/>
      <c r="AU27" s="3"/>
      <c r="AV27" s="3"/>
      <c r="AW27" s="3"/>
      <c r="AX27" s="3"/>
      <c r="AY27" s="3"/>
      <c r="AZ27" s="51"/>
      <c r="BA27" s="51"/>
    </row>
    <row r="28" spans="38:53" ht="12.75">
      <c r="AL28" s="3"/>
      <c r="AM28" s="3"/>
      <c r="AQ28" s="3"/>
      <c r="AT28" s="1"/>
      <c r="AU28" s="3"/>
      <c r="AZ28" s="51"/>
      <c r="BA28" s="51"/>
    </row>
    <row r="29" spans="46:53" ht="12.75">
      <c r="AT29" s="32"/>
      <c r="AU29" s="3"/>
      <c r="AZ29" s="52"/>
      <c r="BA29" s="52"/>
    </row>
    <row r="30" spans="46:53" ht="12.75">
      <c r="AT30" s="47"/>
      <c r="AU30" s="3"/>
      <c r="AZ30" s="53"/>
      <c r="BA30" s="53"/>
    </row>
    <row r="31" spans="46:53" ht="12.75">
      <c r="AT31" s="47"/>
      <c r="AU31" s="3"/>
      <c r="AZ31" s="35"/>
      <c r="BA31" s="35"/>
    </row>
    <row r="32" spans="46:53" ht="12.75">
      <c r="AT32" s="41"/>
      <c r="AU32" s="3"/>
      <c r="AZ32" s="35"/>
      <c r="BA32" s="35"/>
    </row>
    <row r="33" spans="46:53" ht="12.75">
      <c r="AT33" s="35"/>
      <c r="AU33" s="3"/>
      <c r="AZ33" s="36"/>
      <c r="BA33" s="36"/>
    </row>
    <row r="34" spans="46:53" ht="12.75">
      <c r="AT34" s="36"/>
      <c r="AU34" s="3"/>
      <c r="AZ34" s="36"/>
      <c r="BA34" s="36"/>
    </row>
    <row r="35" spans="46:53" ht="12.75">
      <c r="AT35" s="36"/>
      <c r="AU35" s="3"/>
      <c r="AZ35" s="3"/>
      <c r="BA35" s="3"/>
    </row>
    <row r="36" spans="46:53" ht="12.75">
      <c r="AT36" s="3"/>
      <c r="AU36" s="3"/>
      <c r="AZ36" s="3"/>
      <c r="BA36" s="3"/>
    </row>
    <row r="37" spans="46:53" ht="12.75">
      <c r="AT37" s="3"/>
      <c r="AU37" s="3"/>
      <c r="AZ37" s="3"/>
      <c r="BA37" s="3"/>
    </row>
    <row r="38" spans="46:53" ht="12.75">
      <c r="AT38" s="3"/>
      <c r="AU38" s="3"/>
      <c r="AZ38" s="3"/>
      <c r="BA38" s="3"/>
    </row>
    <row r="39" spans="46:53" ht="12.75">
      <c r="AT39" s="3"/>
      <c r="AU39" s="3"/>
      <c r="AZ39" s="3"/>
      <c r="BA39" s="3"/>
    </row>
    <row r="40" spans="46:47" ht="12.75">
      <c r="AT40" s="3"/>
      <c r="AU40" s="3"/>
    </row>
  </sheetData>
  <sheetProtection/>
  <mergeCells count="35">
    <mergeCell ref="AW2:AW3"/>
    <mergeCell ref="Z2:Z3"/>
    <mergeCell ref="AA2:AA3"/>
    <mergeCell ref="AH2:AH3"/>
    <mergeCell ref="AI2:AI3"/>
    <mergeCell ref="AD2:AD3"/>
    <mergeCell ref="AE2:AE3"/>
    <mergeCell ref="AG2:AG3"/>
    <mergeCell ref="AB2:AB3"/>
    <mergeCell ref="AC2:AC3"/>
    <mergeCell ref="AV2:AV3"/>
    <mergeCell ref="AF2:AF3"/>
    <mergeCell ref="X2:X3"/>
    <mergeCell ref="P2:P3"/>
    <mergeCell ref="Q2:Q3"/>
    <mergeCell ref="R2:R3"/>
    <mergeCell ref="S2:S3"/>
    <mergeCell ref="T2:T3"/>
    <mergeCell ref="U2:U3"/>
    <mergeCell ref="N2:N3"/>
    <mergeCell ref="O2:O3"/>
    <mergeCell ref="H2:H3"/>
    <mergeCell ref="I2:I3"/>
    <mergeCell ref="V2:V3"/>
    <mergeCell ref="Y2:Y3"/>
    <mergeCell ref="E2:E3"/>
    <mergeCell ref="F2:F3"/>
    <mergeCell ref="J2:J3"/>
    <mergeCell ref="K2:K3"/>
    <mergeCell ref="A22:B22"/>
    <mergeCell ref="W2:W3"/>
    <mergeCell ref="C2:C3"/>
    <mergeCell ref="D2:D3"/>
    <mergeCell ref="L2:L3"/>
    <mergeCell ref="M2:M3"/>
  </mergeCells>
  <conditionalFormatting sqref="Z22 AH21:AL22 AD22 AU21:AU23 AX21:AY23 A25:A26 AI23:AK23 V22:W22 R22:S22 N22:O22 C25:G26 L25:AE26">
    <cfRule type="cellIs" priority="4" dxfId="0" operator="equal" stopIfTrue="1">
      <formula>0</formula>
    </cfRule>
  </conditionalFormatting>
  <conditionalFormatting sqref="K22 H26:K26 K25">
    <cfRule type="cellIs" priority="3" dxfId="0" operator="equal" stopIfTrue="1">
      <formula>0</formula>
    </cfRule>
  </conditionalFormatting>
  <conditionalFormatting sqref="J22">
    <cfRule type="cellIs" priority="2" dxfId="0" operator="equal" stopIfTrue="1">
      <formula>0</formula>
    </cfRule>
  </conditionalFormatting>
  <conditionalFormatting sqref="H25:J25">
    <cfRule type="cellIs" priority="1" dxfId="0" operator="equal" stopIfTrue="1">
      <formula>0</formula>
    </cfRule>
  </conditionalFormatting>
  <printOptions/>
  <pageMargins left="0.17" right="0.17" top="0.41" bottom="0.59" header="0.38" footer="0.36"/>
  <pageSetup horizontalDpi="600" verticalDpi="600" orientation="portrait" scale="70" r:id="rId3"/>
  <headerFooter alignWithMargins="0">
    <oddFooter>&amp;LCCI Supplementary Fiscal Q1/09 - DRAFT #1 July 9, 2008&amp;CPage 10&amp;R&amp;D&amp;T</oddFooter>
  </headerFooter>
  <legacyDrawing r:id="rId2"/>
</worksheet>
</file>

<file path=xl/worksheets/sheet21.xml><?xml version="1.0" encoding="utf-8"?>
<worksheet xmlns="http://schemas.openxmlformats.org/spreadsheetml/2006/main" xmlns:r="http://schemas.openxmlformats.org/officeDocument/2006/relationships">
  <dimension ref="A1:F73"/>
  <sheetViews>
    <sheetView zoomScalePageLayoutView="0" workbookViewId="0" topLeftCell="A44">
      <selection activeCell="E56" sqref="E56"/>
    </sheetView>
  </sheetViews>
  <sheetFormatPr defaultColWidth="9.140625" defaultRowHeight="12.75" outlineLevelRow="1"/>
  <cols>
    <col min="1" max="1" width="41.8515625" style="0" customWidth="1"/>
    <col min="2" max="2" width="15.00390625" style="0" bestFit="1" customWidth="1"/>
    <col min="3" max="3" width="15.421875" style="0" customWidth="1"/>
    <col min="4" max="4" width="24.140625" style="0" bestFit="1" customWidth="1"/>
    <col min="5" max="5" width="14.57421875" style="0" bestFit="1" customWidth="1"/>
    <col min="6" max="6" width="10.28125" style="0" customWidth="1"/>
  </cols>
  <sheetData>
    <row r="1" spans="1:5" ht="15.75">
      <c r="A1" s="447" t="s">
        <v>144</v>
      </c>
      <c r="B1" s="448"/>
      <c r="C1" s="448"/>
      <c r="D1" s="448"/>
      <c r="E1" s="448"/>
    </row>
    <row r="2" spans="1:5" ht="12.75">
      <c r="A2" s="448"/>
      <c r="B2" s="448"/>
      <c r="C2" s="448"/>
      <c r="D2" s="448"/>
      <c r="E2" s="448"/>
    </row>
    <row r="3" spans="1:5" ht="12.75">
      <c r="A3" s="448"/>
      <c r="B3" s="449" t="s">
        <v>32</v>
      </c>
      <c r="C3" s="449" t="s">
        <v>93</v>
      </c>
      <c r="D3" s="449" t="s">
        <v>92</v>
      </c>
      <c r="E3" s="449" t="s">
        <v>91</v>
      </c>
    </row>
    <row r="4" spans="1:5" ht="12.75" hidden="1" outlineLevel="1">
      <c r="A4" s="448"/>
      <c r="B4" s="448" t="s">
        <v>272</v>
      </c>
      <c r="C4" s="448" t="s">
        <v>273</v>
      </c>
      <c r="D4" s="448" t="s">
        <v>274</v>
      </c>
      <c r="E4" s="448" t="s">
        <v>275</v>
      </c>
    </row>
    <row r="5" spans="1:5" ht="12.75" hidden="1" outlineLevel="1">
      <c r="A5" s="448"/>
      <c r="B5" s="448"/>
      <c r="C5" s="448"/>
      <c r="D5" s="448"/>
      <c r="E5" s="448"/>
    </row>
    <row r="6" spans="1:5" ht="12.75" hidden="1" outlineLevel="1">
      <c r="A6" s="448" t="s">
        <v>145</v>
      </c>
      <c r="B6" s="450">
        <v>439902000</v>
      </c>
      <c r="C6" s="450">
        <v>413940000</v>
      </c>
      <c r="D6" s="450">
        <v>357961000</v>
      </c>
      <c r="E6" s="450">
        <v>372704000</v>
      </c>
    </row>
    <row r="7" spans="1:5" ht="12.75" hidden="1" outlineLevel="1">
      <c r="A7" s="448" t="s">
        <v>146</v>
      </c>
      <c r="B7" s="448"/>
      <c r="C7" s="448"/>
      <c r="D7" s="448"/>
      <c r="E7" s="448"/>
    </row>
    <row r="8" spans="1:5" ht="12.75" hidden="1" outlineLevel="1">
      <c r="A8" s="448"/>
      <c r="B8" s="451">
        <f>SUM(B6:B7)</f>
        <v>439902000</v>
      </c>
      <c r="C8" s="451">
        <f>SUM(C6:C7)</f>
        <v>413940000</v>
      </c>
      <c r="D8" s="451">
        <f>SUM(D6:D7)</f>
        <v>357961000</v>
      </c>
      <c r="E8" s="451">
        <f>SUM(E6:E7)</f>
        <v>372704000</v>
      </c>
    </row>
    <row r="9" spans="1:5" ht="12.75" hidden="1" outlineLevel="1">
      <c r="A9" s="448"/>
      <c r="B9" s="452"/>
      <c r="C9" s="452"/>
      <c r="D9" s="452"/>
      <c r="E9" s="452"/>
    </row>
    <row r="10" spans="1:5" ht="12.75" hidden="1" outlineLevel="1">
      <c r="A10" s="448" t="s">
        <v>175</v>
      </c>
      <c r="B10" s="450">
        <v>57465952</v>
      </c>
      <c r="C10" s="450">
        <v>57981364</v>
      </c>
      <c r="D10" s="450">
        <v>56210261</v>
      </c>
      <c r="E10" s="450">
        <v>57250972</v>
      </c>
    </row>
    <row r="11" spans="1:5" ht="12.75" hidden="1" outlineLevel="1">
      <c r="A11" s="448"/>
      <c r="B11" s="448"/>
      <c r="C11" s="448"/>
      <c r="D11" s="448"/>
      <c r="E11" s="448"/>
    </row>
    <row r="12" spans="1:5" ht="12.75" hidden="1" outlineLevel="1">
      <c r="A12" s="448" t="s">
        <v>147</v>
      </c>
      <c r="B12" s="453">
        <f>B8/B10</f>
        <v>7.655002391677075</v>
      </c>
      <c r="C12" s="453">
        <f>C8/C10</f>
        <v>7.139190447468604</v>
      </c>
      <c r="D12" s="453">
        <f>D8/D10</f>
        <v>6.368250095832147</v>
      </c>
      <c r="E12" s="453">
        <f>E8/E10</f>
        <v>6.510003009206551</v>
      </c>
    </row>
    <row r="13" spans="1:5" ht="12.75" hidden="1" outlineLevel="1">
      <c r="A13" s="448"/>
      <c r="B13" s="448"/>
      <c r="C13" s="448"/>
      <c r="D13" s="448"/>
      <c r="E13" s="448"/>
    </row>
    <row r="14" spans="1:5" ht="12.75" collapsed="1">
      <c r="A14" s="670"/>
      <c r="B14" s="670"/>
      <c r="C14" s="670"/>
      <c r="D14" s="670"/>
      <c r="E14" s="670"/>
    </row>
    <row r="15" spans="1:5" ht="12.75">
      <c r="A15" s="448"/>
      <c r="B15" s="449" t="s">
        <v>138</v>
      </c>
      <c r="C15" s="449" t="s">
        <v>139</v>
      </c>
      <c r="D15" s="449" t="s">
        <v>140</v>
      </c>
      <c r="E15" s="449" t="s">
        <v>141</v>
      </c>
    </row>
    <row r="16" spans="1:5" ht="12.75" hidden="1" outlineLevel="1">
      <c r="A16" s="448"/>
      <c r="B16" s="448" t="s">
        <v>210</v>
      </c>
      <c r="C16" s="448" t="s">
        <v>211</v>
      </c>
      <c r="D16" s="448" t="s">
        <v>212</v>
      </c>
      <c r="E16" s="448" t="s">
        <v>213</v>
      </c>
    </row>
    <row r="17" spans="1:5" ht="12.75" hidden="1" outlineLevel="1">
      <c r="A17" s="448"/>
      <c r="B17" s="448"/>
      <c r="C17" s="448"/>
      <c r="D17" s="448"/>
      <c r="E17" s="448"/>
    </row>
    <row r="18" spans="1:5" ht="12.75" hidden="1" outlineLevel="1">
      <c r="A18" s="448" t="s">
        <v>145</v>
      </c>
      <c r="B18" s="450">
        <v>385396000</v>
      </c>
      <c r="C18" s="450">
        <v>388225000</v>
      </c>
      <c r="D18" s="450">
        <v>400667000</v>
      </c>
      <c r="E18" s="450">
        <v>401745000</v>
      </c>
    </row>
    <row r="19" spans="1:5" ht="12.75" hidden="1" outlineLevel="1">
      <c r="A19" s="448" t="s">
        <v>146</v>
      </c>
      <c r="B19" s="448"/>
      <c r="C19" s="448"/>
      <c r="D19" s="448"/>
      <c r="E19" s="448"/>
    </row>
    <row r="20" spans="1:5" ht="12.75" hidden="1" outlineLevel="1">
      <c r="A20" s="448"/>
      <c r="B20" s="451">
        <f>SUM(B18:B19)</f>
        <v>385396000</v>
      </c>
      <c r="C20" s="451">
        <f>SUM(C18:C19)</f>
        <v>388225000</v>
      </c>
      <c r="D20" s="451">
        <f>SUM(D18:D19)</f>
        <v>400667000</v>
      </c>
      <c r="E20" s="451">
        <f>SUM(E18:E19)</f>
        <v>401745000</v>
      </c>
    </row>
    <row r="21" spans="1:5" ht="12.75" hidden="1" outlineLevel="1">
      <c r="A21" s="448"/>
      <c r="B21" s="452"/>
      <c r="C21" s="452"/>
      <c r="D21" s="452"/>
      <c r="E21" s="452"/>
    </row>
    <row r="22" spans="1:5" ht="12.75" hidden="1" outlineLevel="1">
      <c r="A22" s="448" t="s">
        <v>175</v>
      </c>
      <c r="B22" s="450">
        <v>57245000</v>
      </c>
      <c r="C22" s="450">
        <v>57226000</v>
      </c>
      <c r="D22" s="450">
        <v>57267000</v>
      </c>
      <c r="E22" s="450">
        <v>57814000</v>
      </c>
    </row>
    <row r="23" spans="1:5" ht="12.75" hidden="1" outlineLevel="1">
      <c r="A23" s="448"/>
      <c r="B23" s="448"/>
      <c r="C23" s="448"/>
      <c r="D23" s="448"/>
      <c r="E23" s="448"/>
    </row>
    <row r="24" spans="1:5" ht="12.75" hidden="1" outlineLevel="1">
      <c r="A24" s="448" t="s">
        <v>147</v>
      </c>
      <c r="B24" s="453">
        <f>B20/B22</f>
        <v>6.732395842431654</v>
      </c>
      <c r="C24" s="453">
        <f>C20/C22</f>
        <v>6.7840666829762695</v>
      </c>
      <c r="D24" s="453">
        <f>D20/D22</f>
        <v>6.99647266313933</v>
      </c>
      <c r="E24" s="453">
        <f>E20/E22</f>
        <v>6.948922406337565</v>
      </c>
    </row>
    <row r="25" spans="1:5" ht="12.75" hidden="1" outlineLevel="1">
      <c r="A25" s="448"/>
      <c r="B25" s="448"/>
      <c r="C25" s="448"/>
      <c r="D25" s="448"/>
      <c r="E25" s="448"/>
    </row>
    <row r="26" ht="12.75" collapsed="1"/>
    <row r="27" spans="1:5" ht="12.75">
      <c r="A27" s="448"/>
      <c r="B27" s="449" t="s">
        <v>225</v>
      </c>
      <c r="C27" s="449" t="s">
        <v>224</v>
      </c>
      <c r="D27" s="449" t="s">
        <v>223</v>
      </c>
      <c r="E27" s="449" t="s">
        <v>222</v>
      </c>
    </row>
    <row r="28" spans="1:5" ht="12.75">
      <c r="A28" s="448"/>
      <c r="B28" s="448" t="s">
        <v>238</v>
      </c>
      <c r="C28" s="448" t="s">
        <v>239</v>
      </c>
      <c r="D28" s="448" t="s">
        <v>240</v>
      </c>
      <c r="E28" s="448" t="s">
        <v>241</v>
      </c>
    </row>
    <row r="29" spans="1:5" ht="12.75">
      <c r="A29" s="448"/>
      <c r="B29" s="448"/>
      <c r="C29" s="448"/>
      <c r="D29" s="448"/>
      <c r="E29" s="448"/>
    </row>
    <row r="30" spans="1:5" ht="12.75">
      <c r="A30" s="448" t="s">
        <v>145</v>
      </c>
      <c r="B30" s="450">
        <f>'11 Balance Sheet'!U36*1000</f>
        <v>670996000</v>
      </c>
      <c r="C30" s="450">
        <f>'11 Balance Sheet'!T36*1000</f>
        <v>680530000</v>
      </c>
      <c r="D30" s="450">
        <f>'11 Balance Sheet'!S36*1000</f>
        <v>724726000</v>
      </c>
      <c r="E30" s="450">
        <f>'11 Balance Sheet'!R36*1000</f>
        <v>756892000</v>
      </c>
    </row>
    <row r="31" spans="1:5" ht="12.75">
      <c r="A31" s="448" t="s">
        <v>146</v>
      </c>
      <c r="B31" s="448"/>
      <c r="C31" s="448"/>
      <c r="D31" s="448"/>
      <c r="E31" s="448"/>
    </row>
    <row r="32" spans="1:5" ht="12.75">
      <c r="A32" s="448"/>
      <c r="B32" s="451">
        <f>SUM(B30:B31)</f>
        <v>670996000</v>
      </c>
      <c r="C32" s="451">
        <f>SUM(C30:C31)</f>
        <v>680530000</v>
      </c>
      <c r="D32" s="451">
        <f>SUM(D30:D31)</f>
        <v>724726000</v>
      </c>
      <c r="E32" s="451">
        <f>SUM(E30:E31)</f>
        <v>756892000</v>
      </c>
    </row>
    <row r="33" spans="1:5" ht="12.75">
      <c r="A33" s="448"/>
      <c r="B33" s="452"/>
      <c r="C33" s="452"/>
      <c r="D33" s="452"/>
      <c r="E33" s="452"/>
    </row>
    <row r="34" spans="1:5" ht="12.75">
      <c r="A34" s="448" t="s">
        <v>175</v>
      </c>
      <c r="B34" s="450">
        <f>'1 Financial Highlights'!U47*1000</f>
        <v>85357030</v>
      </c>
      <c r="C34" s="450">
        <f>'1 Financial Highlights'!T47*1000</f>
        <v>84565000</v>
      </c>
      <c r="D34" s="450">
        <f>'1 Financial Highlights'!S47*1000</f>
        <v>85938028</v>
      </c>
      <c r="E34" s="450">
        <f>'1 Financial Highlights'!R47*1000</f>
        <v>86080048</v>
      </c>
    </row>
    <row r="35" spans="1:5" ht="12.75">
      <c r="A35" s="448"/>
      <c r="B35" s="448"/>
      <c r="C35" s="448"/>
      <c r="D35" s="448"/>
      <c r="E35" s="448"/>
    </row>
    <row r="36" spans="1:5" ht="12.75">
      <c r="A36" s="448" t="s">
        <v>147</v>
      </c>
      <c r="B36" s="453">
        <f>B32/B34</f>
        <v>7.861051397875489</v>
      </c>
      <c r="C36" s="453">
        <f>C32/C34</f>
        <v>8.047419145036363</v>
      </c>
      <c r="D36" s="453">
        <f>D32/D34</f>
        <v>8.433123459616738</v>
      </c>
      <c r="E36" s="453">
        <f>E32/E34</f>
        <v>8.792885431476526</v>
      </c>
    </row>
    <row r="37" spans="1:5" ht="12.75">
      <c r="A37" s="448"/>
      <c r="B37" s="448"/>
      <c r="C37" s="448"/>
      <c r="D37" s="448"/>
      <c r="E37" s="448"/>
    </row>
    <row r="39" spans="1:5" ht="12.75">
      <c r="A39" s="448"/>
      <c r="B39" s="449" t="s">
        <v>276</v>
      </c>
      <c r="C39" s="449" t="s">
        <v>279</v>
      </c>
      <c r="D39" s="449" t="s">
        <v>278</v>
      </c>
      <c r="E39" s="449" t="s">
        <v>277</v>
      </c>
    </row>
    <row r="40" spans="1:5" ht="12.75">
      <c r="A40" s="448"/>
      <c r="B40" s="448" t="s">
        <v>282</v>
      </c>
      <c r="C40" s="448" t="s">
        <v>283</v>
      </c>
      <c r="D40" s="448" t="s">
        <v>284</v>
      </c>
      <c r="E40" s="448" t="s">
        <v>281</v>
      </c>
    </row>
    <row r="41" spans="1:5" ht="12.75">
      <c r="A41" s="448"/>
      <c r="B41" s="448"/>
      <c r="C41" s="448"/>
      <c r="D41" s="448"/>
      <c r="E41" s="448"/>
    </row>
    <row r="42" spans="1:5" ht="12.75">
      <c r="A42" s="448" t="s">
        <v>145</v>
      </c>
      <c r="B42" s="450">
        <f>'11 Balance Sheet'!Q36*1000</f>
        <v>848241000</v>
      </c>
      <c r="C42" s="450">
        <f>'11 Balance Sheet'!P36*1000</f>
        <v>863493000</v>
      </c>
      <c r="D42" s="450">
        <f>'11 Balance Sheet'!O36*1000</f>
        <v>852295000</v>
      </c>
      <c r="E42" s="450">
        <f>'11 Balance Sheet'!N36*1000</f>
        <v>992125000</v>
      </c>
    </row>
    <row r="43" spans="1:6" ht="12.75">
      <c r="A43" s="448" t="s">
        <v>146</v>
      </c>
      <c r="B43" s="690">
        <f>-97352000</f>
        <v>-97352000</v>
      </c>
      <c r="C43" s="690">
        <v>-110818000</v>
      </c>
      <c r="D43" s="690">
        <v>-110818000</v>
      </c>
      <c r="E43" s="690">
        <v>-110818000</v>
      </c>
      <c r="F43" s="691" t="s">
        <v>306</v>
      </c>
    </row>
    <row r="44" spans="1:5" ht="12.75">
      <c r="A44" s="448"/>
      <c r="B44" s="451">
        <f>SUM(B42:B43)</f>
        <v>750889000</v>
      </c>
      <c r="C44" s="451">
        <f>SUM(C42:C43)</f>
        <v>752675000</v>
      </c>
      <c r="D44" s="451">
        <f>SUM(D42:D43)</f>
        <v>741477000</v>
      </c>
      <c r="E44" s="451">
        <f>SUM(E42:E43)</f>
        <v>881307000</v>
      </c>
    </row>
    <row r="45" spans="1:5" ht="12.75">
      <c r="A45" s="448"/>
      <c r="B45" s="452"/>
      <c r="C45" s="452"/>
      <c r="D45" s="452"/>
      <c r="E45" s="452"/>
    </row>
    <row r="46" spans="1:5" ht="12.75">
      <c r="A46" s="448" t="s">
        <v>175</v>
      </c>
      <c r="B46" s="450">
        <f>'1 Financial Highlights'!Q47*1000</f>
        <v>86236000</v>
      </c>
      <c r="C46" s="450">
        <f>'1 Financial Highlights'!P47*1000</f>
        <v>85979111</v>
      </c>
      <c r="D46" s="450">
        <f>'1 Financial Highlights'!O47*1000</f>
        <v>86787169</v>
      </c>
      <c r="E46" s="450">
        <f>'1 Financial Highlights'!N47*1000</f>
        <v>106656028</v>
      </c>
    </row>
    <row r="47" spans="1:5" ht="12.75">
      <c r="A47" s="448"/>
      <c r="B47" s="448"/>
      <c r="C47" s="448"/>
      <c r="D47" s="448"/>
      <c r="E47" s="448"/>
    </row>
    <row r="48" spans="1:5" ht="12.75">
      <c r="A48" s="448" t="s">
        <v>147</v>
      </c>
      <c r="B48" s="453">
        <f>B44/B46</f>
        <v>8.707372790945776</v>
      </c>
      <c r="C48" s="453">
        <f>C44/C46</f>
        <v>8.75416122876637</v>
      </c>
      <c r="D48" s="453">
        <f>D44/D46</f>
        <v>8.54362469180208</v>
      </c>
      <c r="E48" s="453">
        <f>E44/E46</f>
        <v>8.263077263668585</v>
      </c>
    </row>
    <row r="49" spans="1:5" ht="12.75">
      <c r="A49" s="448"/>
      <c r="B49" s="448"/>
      <c r="C49" s="448"/>
      <c r="D49" s="448"/>
      <c r="E49" s="448"/>
    </row>
    <row r="51" spans="1:5" ht="12.75">
      <c r="A51" s="448"/>
      <c r="B51" s="449" t="s">
        <v>365</v>
      </c>
      <c r="C51" s="449" t="s">
        <v>364</v>
      </c>
      <c r="D51" s="449" t="s">
        <v>363</v>
      </c>
      <c r="E51" s="449" t="s">
        <v>362</v>
      </c>
    </row>
    <row r="52" spans="1:5" ht="12.75">
      <c r="A52" s="448"/>
      <c r="B52" s="796" t="s">
        <v>372</v>
      </c>
      <c r="C52" s="796" t="s">
        <v>373</v>
      </c>
      <c r="D52" s="796" t="s">
        <v>374</v>
      </c>
      <c r="E52" s="796" t="s">
        <v>375</v>
      </c>
    </row>
    <row r="53" spans="1:5" ht="12.75">
      <c r="A53" s="448"/>
      <c r="B53" s="448"/>
      <c r="C53" s="448"/>
      <c r="D53" s="448"/>
      <c r="E53" s="448"/>
    </row>
    <row r="54" spans="1:5" ht="12.75">
      <c r="A54" s="448" t="s">
        <v>145</v>
      </c>
      <c r="B54" s="450">
        <f>+'11 Balance Sheet'!M36*1000</f>
        <v>1057969000</v>
      </c>
      <c r="C54" s="450">
        <f>+'11 Balance Sheet'!L36*1000</f>
        <v>1033842000</v>
      </c>
      <c r="D54" s="450">
        <f>'11 Balance Sheet'!K36*1000</f>
        <v>1051183000</v>
      </c>
      <c r="E54" s="450">
        <f>'11 Balance Sheet'!J36*1000</f>
        <v>1049163000</v>
      </c>
    </row>
    <row r="55" spans="1:6" ht="12.75">
      <c r="A55" s="448" t="s">
        <v>146</v>
      </c>
      <c r="B55" s="690">
        <v>-205641000</v>
      </c>
      <c r="C55" s="690">
        <v>-205641000</v>
      </c>
      <c r="D55" s="690">
        <v>-205641000</v>
      </c>
      <c r="E55" s="690">
        <v>-205641000</v>
      </c>
      <c r="F55" s="691" t="s">
        <v>306</v>
      </c>
    </row>
    <row r="56" spans="1:5" ht="12.75">
      <c r="A56" s="448"/>
      <c r="B56" s="451">
        <f>SUM(B54:B55)</f>
        <v>852328000</v>
      </c>
      <c r="C56" s="451">
        <f>SUM(C54:C55)</f>
        <v>828201000</v>
      </c>
      <c r="D56" s="451">
        <f>SUM(D54:D55)</f>
        <v>845542000</v>
      </c>
      <c r="E56" s="451">
        <f>SUM(E54:E55)</f>
        <v>843522000</v>
      </c>
    </row>
    <row r="57" spans="1:5" ht="12.75">
      <c r="A57" s="448"/>
      <c r="B57" s="452"/>
      <c r="C57" s="452"/>
      <c r="D57" s="452"/>
      <c r="E57" s="452"/>
    </row>
    <row r="58" spans="1:5" ht="12.75">
      <c r="A58" s="448" t="s">
        <v>175</v>
      </c>
      <c r="B58" s="450">
        <f>+'1 Financial Highlights'!M47*1000</f>
        <v>107853796</v>
      </c>
      <c r="C58" s="450">
        <f>+'1 Financial Highlights'!L47*1000</f>
        <v>108789119</v>
      </c>
      <c r="D58" s="450">
        <f>+'1 Financial Highlights'!K47*1000</f>
        <v>110968918</v>
      </c>
      <c r="E58" s="450">
        <f>+'1 Financial Highlights'!J47*1000</f>
        <v>109882489</v>
      </c>
    </row>
    <row r="59" spans="1:5" ht="12.75">
      <c r="A59" s="448"/>
      <c r="B59" s="448"/>
      <c r="C59" s="448"/>
      <c r="D59" s="448"/>
      <c r="E59" s="448"/>
    </row>
    <row r="60" spans="1:5" ht="12.75">
      <c r="A60" s="448" t="s">
        <v>147</v>
      </c>
      <c r="B60" s="453">
        <f>B56/B58</f>
        <v>7.90262403003414</v>
      </c>
      <c r="C60" s="453">
        <f>C56/C58</f>
        <v>7.612902904379619</v>
      </c>
      <c r="D60" s="453">
        <f>D56/D58</f>
        <v>7.619629128942214</v>
      </c>
      <c r="E60" s="453">
        <f>E56/E58</f>
        <v>7.676582571769011</v>
      </c>
    </row>
    <row r="61" spans="1:5" ht="12.75">
      <c r="A61" s="448"/>
      <c r="B61" s="448"/>
      <c r="C61" s="448"/>
      <c r="D61" s="448"/>
      <c r="E61" s="448"/>
    </row>
    <row r="63" spans="1:5" ht="12.75">
      <c r="A63" s="448"/>
      <c r="B63" s="449" t="s">
        <v>427</v>
      </c>
      <c r="C63" s="449" t="s">
        <v>429</v>
      </c>
      <c r="D63" s="449" t="s">
        <v>430</v>
      </c>
      <c r="E63" s="449" t="s">
        <v>431</v>
      </c>
    </row>
    <row r="64" spans="1:5" ht="12.75">
      <c r="A64" s="448"/>
      <c r="B64" s="796" t="s">
        <v>433</v>
      </c>
      <c r="C64" s="796" t="s">
        <v>434</v>
      </c>
      <c r="D64" s="796" t="s">
        <v>435</v>
      </c>
      <c r="E64" s="796" t="s">
        <v>436</v>
      </c>
    </row>
    <row r="65" spans="1:5" ht="12.75">
      <c r="A65" s="448"/>
      <c r="B65" s="448"/>
      <c r="C65" s="448"/>
      <c r="D65" s="448"/>
      <c r="E65" s="448"/>
    </row>
    <row r="66" spans="1:5" ht="12.75">
      <c r="A66" s="448" t="s">
        <v>145</v>
      </c>
      <c r="B66" s="450">
        <f>'11 Balance Sheet'!I36*1000</f>
        <v>1068625000</v>
      </c>
      <c r="C66" s="450">
        <f>'11 Balance Sheet'!H36*1000</f>
        <v>1082613000</v>
      </c>
      <c r="D66" s="450">
        <f>'11 Balance Sheet'!G36*1000</f>
        <v>1119396000</v>
      </c>
      <c r="E66" s="450">
        <f>'11 Balance Sheet'!F36*1000</f>
        <v>0</v>
      </c>
    </row>
    <row r="67" spans="1:6" ht="12.75">
      <c r="A67" s="448" t="s">
        <v>146</v>
      </c>
      <c r="B67" s="690">
        <v>-205641000</v>
      </c>
      <c r="C67" s="690">
        <v>-205641000</v>
      </c>
      <c r="D67" s="690">
        <v>-205641000</v>
      </c>
      <c r="E67" s="690"/>
      <c r="F67" s="691" t="s">
        <v>306</v>
      </c>
    </row>
    <row r="68" spans="1:5" ht="12.75">
      <c r="A68" s="448"/>
      <c r="B68" s="451">
        <f>SUM(B66:B67)</f>
        <v>862984000</v>
      </c>
      <c r="C68" s="451">
        <f>SUM(C66:C67)</f>
        <v>876972000</v>
      </c>
      <c r="D68" s="451">
        <f>SUM(D66:D67)</f>
        <v>913755000</v>
      </c>
      <c r="E68" s="451">
        <f>SUM(E66:E67)</f>
        <v>0</v>
      </c>
    </row>
    <row r="69" spans="1:5" ht="12.75">
      <c r="A69" s="448"/>
      <c r="B69" s="452"/>
      <c r="C69" s="452"/>
      <c r="D69" s="452"/>
      <c r="E69" s="452"/>
    </row>
    <row r="70" spans="1:5" ht="12.75">
      <c r="A70" s="448" t="s">
        <v>175</v>
      </c>
      <c r="B70" s="450">
        <f>+'1 Financial Highlights'!I47*1000</f>
        <v>109667482</v>
      </c>
      <c r="C70" s="450">
        <f>+'1 Financial Highlights'!H47*1000</f>
        <v>109603592</v>
      </c>
      <c r="D70" s="450">
        <f>+'1 Financial Highlights'!G47*1000</f>
        <v>108409478</v>
      </c>
      <c r="E70" s="450">
        <f>+'1 Financial Highlights'!F47*1000</f>
        <v>0</v>
      </c>
    </row>
    <row r="71" spans="1:5" ht="12.75">
      <c r="A71" s="448"/>
      <c r="B71" s="448"/>
      <c r="C71" s="448"/>
      <c r="D71" s="448"/>
      <c r="E71" s="448"/>
    </row>
    <row r="72" spans="1:5" ht="12.75">
      <c r="A72" s="448" t="s">
        <v>147</v>
      </c>
      <c r="B72" s="453">
        <f>B68/B70</f>
        <v>7.869096511215604</v>
      </c>
      <c r="C72" s="453">
        <f>C68/C70</f>
        <v>8.001307110445797</v>
      </c>
      <c r="D72" s="453">
        <f>D68/D70</f>
        <v>8.428737199527886</v>
      </c>
      <c r="E72" s="453" t="e">
        <f>E68/E70</f>
        <v>#DIV/0!</v>
      </c>
    </row>
    <row r="73" spans="1:5" ht="12.75">
      <c r="A73" s="448"/>
      <c r="B73" s="448"/>
      <c r="C73" s="448"/>
      <c r="D73" s="448"/>
      <c r="E73" s="448"/>
    </row>
  </sheetData>
  <sheetProtection/>
  <printOptions/>
  <pageMargins left="0.75" right="0.18" top="1" bottom="1" header="0.5" footer="0.5"/>
  <pageSetup horizontalDpi="600" verticalDpi="600" orientation="portrait" r:id="rId1"/>
  <headerFooter alignWithMargins="0">
    <oddFooter>&amp;R&amp;D&amp;T</oddFooter>
  </headerFooter>
  <ignoredErrors>
    <ignoredError sqref="B24:E24" evalError="1"/>
    <ignoredError sqref="B40:E41" twoDigitTextYear="1"/>
  </ignoredErrors>
</worksheet>
</file>

<file path=xl/worksheets/sheet22.xml><?xml version="1.0" encoding="utf-8"?>
<worksheet xmlns="http://schemas.openxmlformats.org/spreadsheetml/2006/main" xmlns:r="http://schemas.openxmlformats.org/officeDocument/2006/relationships">
  <dimension ref="A1:L117"/>
  <sheetViews>
    <sheetView zoomScalePageLayoutView="0" workbookViewId="0" topLeftCell="A82">
      <selection activeCell="H107" sqref="H107"/>
    </sheetView>
  </sheetViews>
  <sheetFormatPr defaultColWidth="9.140625" defaultRowHeight="12.75"/>
  <cols>
    <col min="1" max="1" width="25.00390625" style="0" customWidth="1"/>
    <col min="2" max="5" width="11.7109375" style="0" customWidth="1"/>
    <col min="6" max="6" width="16.00390625" style="0" customWidth="1"/>
    <col min="9" max="9" width="10.8515625" style="0" customWidth="1"/>
  </cols>
  <sheetData>
    <row r="1" ht="18">
      <c r="A1" s="140" t="s">
        <v>163</v>
      </c>
    </row>
    <row r="2" ht="13.5" thickBot="1"/>
    <row r="3" spans="1:5" ht="12.75" hidden="1">
      <c r="A3" s="337" t="s">
        <v>148</v>
      </c>
      <c r="B3" s="327"/>
      <c r="C3" s="327"/>
      <c r="D3" s="327"/>
      <c r="E3" s="328"/>
    </row>
    <row r="4" spans="1:5" ht="12.75" hidden="1">
      <c r="A4" s="338" t="s">
        <v>150</v>
      </c>
      <c r="B4" s="3"/>
      <c r="C4" s="3"/>
      <c r="D4" s="3"/>
      <c r="E4" s="331"/>
    </row>
    <row r="5" spans="1:5" ht="12.75" hidden="1">
      <c r="A5" s="330"/>
      <c r="B5" s="210" t="s">
        <v>151</v>
      </c>
      <c r="C5" s="210" t="s">
        <v>152</v>
      </c>
      <c r="D5" s="210" t="s">
        <v>153</v>
      </c>
      <c r="E5" s="339" t="s">
        <v>154</v>
      </c>
    </row>
    <row r="6" spans="1:5" ht="12.75" hidden="1">
      <c r="A6" s="290" t="s">
        <v>155</v>
      </c>
      <c r="B6" s="333">
        <v>69110.62</v>
      </c>
      <c r="C6" s="333">
        <f>65567.91-1621.56</f>
        <v>63946.350000000006</v>
      </c>
      <c r="D6" s="333">
        <v>61729.19</v>
      </c>
      <c r="E6" s="331">
        <v>61646.74</v>
      </c>
    </row>
    <row r="7" spans="1:5" ht="12.75" hidden="1">
      <c r="A7" s="290" t="s">
        <v>156</v>
      </c>
      <c r="B7" s="333">
        <v>3985.92</v>
      </c>
      <c r="C7" s="333">
        <v>3985.92</v>
      </c>
      <c r="D7" s="333">
        <v>3985.92</v>
      </c>
      <c r="E7" s="340">
        <v>3985.92</v>
      </c>
    </row>
    <row r="8" spans="1:5" ht="12.75" hidden="1">
      <c r="A8" s="290" t="s">
        <v>157</v>
      </c>
      <c r="B8" s="333">
        <v>37664.8</v>
      </c>
      <c r="C8" s="333">
        <f>42567.8</f>
        <v>42567.8</v>
      </c>
      <c r="D8" s="333">
        <v>42115.28</v>
      </c>
      <c r="E8" s="331">
        <v>40378.97</v>
      </c>
    </row>
    <row r="9" spans="1:5" ht="12.75" hidden="1">
      <c r="A9" s="290" t="s">
        <v>158</v>
      </c>
      <c r="B9" s="333">
        <v>43219.18</v>
      </c>
      <c r="C9" s="333">
        <f>41895.58</f>
        <v>41895.58</v>
      </c>
      <c r="D9" s="333">
        <v>51471.24</v>
      </c>
      <c r="E9" s="331">
        <v>61308.55</v>
      </c>
    </row>
    <row r="10" spans="1:5" ht="12.75" hidden="1">
      <c r="A10" s="290" t="s">
        <v>159</v>
      </c>
      <c r="B10" s="333">
        <v>29054.58</v>
      </c>
      <c r="C10" s="333">
        <f>37699.48+1621.56</f>
        <v>39321.04</v>
      </c>
      <c r="D10" s="333">
        <v>37180.9</v>
      </c>
      <c r="E10" s="331">
        <v>44248.31</v>
      </c>
    </row>
    <row r="11" spans="1:5" ht="12.75" hidden="1">
      <c r="A11" s="290" t="s">
        <v>67</v>
      </c>
      <c r="B11" s="334">
        <f>SUM(B6:B10)</f>
        <v>183035.09999999998</v>
      </c>
      <c r="C11" s="334">
        <f>SUM(C6:C10)</f>
        <v>191716.69000000003</v>
      </c>
      <c r="D11" s="334">
        <f>SUM(D6:D10)</f>
        <v>196482.53</v>
      </c>
      <c r="E11" s="341">
        <f>SUM(E6:E10)</f>
        <v>211568.49</v>
      </c>
    </row>
    <row r="12" spans="1:5" ht="12.75" hidden="1">
      <c r="A12" s="330"/>
      <c r="B12" s="3"/>
      <c r="C12" s="3"/>
      <c r="D12" s="3"/>
      <c r="E12" s="331"/>
    </row>
    <row r="13" spans="1:5" ht="12.75" hidden="1">
      <c r="A13" s="330" t="s">
        <v>160</v>
      </c>
      <c r="B13" s="335">
        <v>2.1226</v>
      </c>
      <c r="C13" s="342">
        <v>2.0223</v>
      </c>
      <c r="D13" s="342">
        <v>1.9971</v>
      </c>
      <c r="E13" s="343">
        <v>1.9943</v>
      </c>
    </row>
    <row r="14" spans="1:12" ht="13.5" hidden="1" thickBot="1">
      <c r="A14" s="329" t="s">
        <v>161</v>
      </c>
      <c r="B14" s="336">
        <f>B11*B13</f>
        <v>388510.3032599999</v>
      </c>
      <c r="C14" s="336">
        <f>C11*C13</f>
        <v>387708.66218700004</v>
      </c>
      <c r="D14" s="336">
        <f>D11*D13</f>
        <v>392395.260663</v>
      </c>
      <c r="E14" s="344">
        <f>E11*E13</f>
        <v>421931.03960699996</v>
      </c>
      <c r="G14" s="430"/>
      <c r="H14" s="430"/>
      <c r="I14" s="430"/>
      <c r="J14" s="430"/>
      <c r="K14" s="430"/>
      <c r="L14" s="430"/>
    </row>
    <row r="15" spans="1:5" ht="13.5" hidden="1" thickTop="1">
      <c r="A15" s="330"/>
      <c r="B15" s="3"/>
      <c r="C15" s="3"/>
      <c r="D15" s="3"/>
      <c r="E15" s="331"/>
    </row>
    <row r="16" spans="1:5" ht="12.75" hidden="1">
      <c r="A16" s="330" t="s">
        <v>168</v>
      </c>
      <c r="B16" s="345">
        <f>B14</f>
        <v>388510.3032599999</v>
      </c>
      <c r="C16" s="345">
        <f>C14</f>
        <v>387708.66218700004</v>
      </c>
      <c r="D16" s="345">
        <f>D14</f>
        <v>392395.260663</v>
      </c>
      <c r="E16" s="346">
        <f>E14</f>
        <v>421931.03960699996</v>
      </c>
    </row>
    <row r="17" spans="1:5" ht="12.75" hidden="1">
      <c r="A17" s="330"/>
      <c r="B17" s="210"/>
      <c r="C17" s="210"/>
      <c r="D17" s="210"/>
      <c r="E17" s="339"/>
    </row>
    <row r="18" spans="1:5" ht="13.5" hidden="1" thickBot="1">
      <c r="A18" s="332" t="s">
        <v>162</v>
      </c>
      <c r="B18" s="347">
        <f>B16+C16+D16+E16</f>
        <v>1590545.2657169998</v>
      </c>
      <c r="C18" s="348"/>
      <c r="D18" s="348"/>
      <c r="E18" s="349"/>
    </row>
    <row r="19" spans="1:11" ht="12.75">
      <c r="A19" s="507" t="s">
        <v>149</v>
      </c>
      <c r="B19" s="508"/>
      <c r="C19" s="508"/>
      <c r="D19" s="508"/>
      <c r="E19" s="509"/>
      <c r="F19" s="94"/>
      <c r="G19" s="94"/>
      <c r="H19" s="94"/>
      <c r="I19" s="94"/>
      <c r="J19" s="94"/>
      <c r="K19" s="94"/>
    </row>
    <row r="20" spans="1:11" ht="12.75">
      <c r="A20" s="510" t="s">
        <v>150</v>
      </c>
      <c r="B20" s="511"/>
      <c r="C20" s="511"/>
      <c r="D20" s="511"/>
      <c r="E20" s="512"/>
      <c r="F20" s="94"/>
      <c r="G20" s="513" t="s">
        <v>169</v>
      </c>
      <c r="H20" s="94" t="s">
        <v>170</v>
      </c>
      <c r="I20" s="94" t="s">
        <v>171</v>
      </c>
      <c r="J20" s="94" t="s">
        <v>172</v>
      </c>
      <c r="K20" s="94" t="s">
        <v>173</v>
      </c>
    </row>
    <row r="21" spans="1:11" ht="12.75">
      <c r="A21" s="514"/>
      <c r="B21" s="513" t="s">
        <v>203</v>
      </c>
      <c r="C21" s="513" t="s">
        <v>204</v>
      </c>
      <c r="D21" s="513" t="s">
        <v>205</v>
      </c>
      <c r="E21" s="515" t="s">
        <v>206</v>
      </c>
      <c r="F21" s="94"/>
      <c r="G21" s="513" t="s">
        <v>174</v>
      </c>
      <c r="H21" s="516">
        <v>2.0024</v>
      </c>
      <c r="I21" s="516">
        <v>1.9671</v>
      </c>
      <c r="J21" s="516">
        <v>2.0274</v>
      </c>
      <c r="K21" s="517">
        <f>(H21+I21+J21)/3</f>
        <v>1.9989666666666668</v>
      </c>
    </row>
    <row r="22" spans="1:11" ht="12.75">
      <c r="A22" s="518" t="s">
        <v>155</v>
      </c>
      <c r="B22" s="519">
        <v>42241.81</v>
      </c>
      <c r="C22" s="519">
        <v>44761.61</v>
      </c>
      <c r="D22" s="519">
        <v>57738.55</v>
      </c>
      <c r="E22" s="520">
        <v>58401.53</v>
      </c>
      <c r="F22" s="94"/>
      <c r="G22" s="94"/>
      <c r="H22" s="94"/>
      <c r="I22" s="94"/>
      <c r="J22" s="94"/>
      <c r="K22" s="94"/>
    </row>
    <row r="23" spans="1:11" ht="12.75">
      <c r="A23" s="518" t="s">
        <v>156</v>
      </c>
      <c r="B23" s="519">
        <v>3972.06</v>
      </c>
      <c r="C23" s="519">
        <v>3979.83</v>
      </c>
      <c r="D23" s="519">
        <v>3998.21</v>
      </c>
      <c r="E23" s="520">
        <v>4064.13</v>
      </c>
      <c r="F23" s="94"/>
      <c r="G23" s="513" t="s">
        <v>178</v>
      </c>
      <c r="H23" s="94" t="s">
        <v>185</v>
      </c>
      <c r="I23" s="94" t="s">
        <v>186</v>
      </c>
      <c r="J23" s="94" t="s">
        <v>187</v>
      </c>
      <c r="K23" s="94" t="s">
        <v>173</v>
      </c>
    </row>
    <row r="24" spans="1:11" ht="12.75">
      <c r="A24" s="518" t="s">
        <v>157</v>
      </c>
      <c r="B24" s="519">
        <v>34282.94</v>
      </c>
      <c r="C24" s="519">
        <v>43139.94</v>
      </c>
      <c r="D24" s="519">
        <v>52588.45</v>
      </c>
      <c r="E24" s="520">
        <v>37986.35</v>
      </c>
      <c r="F24" s="94"/>
      <c r="G24" s="513" t="s">
        <v>174</v>
      </c>
      <c r="H24" s="516">
        <v>2.0301</v>
      </c>
      <c r="I24" s="516">
        <v>1.9355</v>
      </c>
      <c r="J24" s="516">
        <v>1.8902</v>
      </c>
      <c r="K24" s="517">
        <f>(H24+I24+J24)/3</f>
        <v>1.9519333333333335</v>
      </c>
    </row>
    <row r="25" spans="1:11" ht="12.75">
      <c r="A25" s="518" t="s">
        <v>158</v>
      </c>
      <c r="B25" s="519">
        <v>64639.45</v>
      </c>
      <c r="C25" s="519">
        <v>70116.93</v>
      </c>
      <c r="D25" s="519">
        <v>72200.73</v>
      </c>
      <c r="E25" s="520">
        <v>63457.98</v>
      </c>
      <c r="F25" s="94"/>
      <c r="G25" s="94"/>
      <c r="H25" s="94"/>
      <c r="I25" s="94"/>
      <c r="J25" s="94"/>
      <c r="K25" s="94"/>
    </row>
    <row r="26" spans="1:11" ht="12.75">
      <c r="A26" s="518" t="s">
        <v>159</v>
      </c>
      <c r="B26" s="519">
        <v>46327.59</v>
      </c>
      <c r="C26" s="519">
        <v>45747.52</v>
      </c>
      <c r="D26" s="519">
        <v>38874.15</v>
      </c>
      <c r="E26" s="520">
        <v>31006.88</v>
      </c>
      <c r="F26" s="94"/>
      <c r="G26" s="513" t="s">
        <v>184</v>
      </c>
      <c r="H26" s="94" t="s">
        <v>188</v>
      </c>
      <c r="I26" s="94" t="s">
        <v>189</v>
      </c>
      <c r="J26" s="94" t="s">
        <v>190</v>
      </c>
      <c r="K26" s="94" t="s">
        <v>173</v>
      </c>
    </row>
    <row r="27" spans="1:11" ht="12.75">
      <c r="A27" s="518" t="s">
        <v>67</v>
      </c>
      <c r="B27" s="521">
        <f>SUM(B22:B26)</f>
        <v>191463.85</v>
      </c>
      <c r="C27" s="521">
        <f>SUM(C22:C26)</f>
        <v>207745.83</v>
      </c>
      <c r="D27" s="521">
        <f>SUM(D22:D26)</f>
        <v>225400.09</v>
      </c>
      <c r="E27" s="522">
        <f>SUM(E22:E26)</f>
        <v>194916.87</v>
      </c>
      <c r="F27" s="94"/>
      <c r="G27" s="513" t="s">
        <v>174</v>
      </c>
      <c r="H27" s="516">
        <v>1.9411</v>
      </c>
      <c r="I27" s="516">
        <v>1.8942</v>
      </c>
      <c r="J27" s="516">
        <v>1.7812</v>
      </c>
      <c r="K27" s="517">
        <f>(H27+I27+J27)/3</f>
        <v>1.8721666666666668</v>
      </c>
    </row>
    <row r="28" spans="1:11" ht="12.75">
      <c r="A28" s="514"/>
      <c r="B28" s="511"/>
      <c r="C28" s="511"/>
      <c r="D28" s="511"/>
      <c r="E28" s="512"/>
      <c r="F28" s="94"/>
      <c r="G28" s="94"/>
      <c r="H28" s="94"/>
      <c r="I28" s="94"/>
      <c r="J28" s="94"/>
      <c r="K28" s="94"/>
    </row>
    <row r="29" spans="1:11" ht="12.75">
      <c r="A29" s="514" t="s">
        <v>160</v>
      </c>
      <c r="B29" s="523">
        <v>1.999</v>
      </c>
      <c r="C29" s="523">
        <v>1.9519</v>
      </c>
      <c r="D29" s="523">
        <v>1.8722</v>
      </c>
      <c r="E29" s="524">
        <f>K30</f>
        <v>1.7925666666666666</v>
      </c>
      <c r="F29" s="94"/>
      <c r="G29" s="513" t="s">
        <v>194</v>
      </c>
      <c r="H29" s="94" t="s">
        <v>195</v>
      </c>
      <c r="I29" s="94" t="s">
        <v>196</v>
      </c>
      <c r="J29" s="94" t="s">
        <v>197</v>
      </c>
      <c r="K29" s="94" t="s">
        <v>173</v>
      </c>
    </row>
    <row r="30" spans="1:11" ht="13.5" thickBot="1">
      <c r="A30" s="525" t="s">
        <v>161</v>
      </c>
      <c r="B30" s="526">
        <f>B27*B29</f>
        <v>382736.23615</v>
      </c>
      <c r="C30" s="526">
        <f>C27*C29</f>
        <v>405499.085577</v>
      </c>
      <c r="D30" s="526">
        <f>D27*D29</f>
        <v>421994.048498</v>
      </c>
      <c r="E30" s="527">
        <f>E27*E29</f>
        <v>349401.483933</v>
      </c>
      <c r="F30" s="94"/>
      <c r="G30" s="513" t="s">
        <v>174</v>
      </c>
      <c r="H30" s="94">
        <v>1.7768</v>
      </c>
      <c r="I30" s="94">
        <v>1.7928</v>
      </c>
      <c r="J30" s="94">
        <v>1.8081</v>
      </c>
      <c r="K30" s="94">
        <f>(H30+I30+J30)/3</f>
        <v>1.7925666666666666</v>
      </c>
    </row>
    <row r="31" spans="1:11" ht="13.5" thickTop="1">
      <c r="A31" s="514"/>
      <c r="B31" s="511"/>
      <c r="C31" s="511"/>
      <c r="D31" s="511"/>
      <c r="E31" s="512"/>
      <c r="F31" s="94"/>
      <c r="G31" s="94"/>
      <c r="H31" s="94"/>
      <c r="I31" s="94"/>
      <c r="J31" s="94"/>
      <c r="K31" s="94"/>
    </row>
    <row r="32" spans="1:11" ht="12.75">
      <c r="A32" s="514" t="s">
        <v>168</v>
      </c>
      <c r="B32" s="528">
        <f>B30</f>
        <v>382736.23615</v>
      </c>
      <c r="C32" s="528">
        <f>C30</f>
        <v>405499.085577</v>
      </c>
      <c r="D32" s="528">
        <f>D30</f>
        <v>421994.048498</v>
      </c>
      <c r="E32" s="529">
        <f>E30</f>
        <v>349401.483933</v>
      </c>
      <c r="F32" s="94"/>
      <c r="G32" s="94"/>
      <c r="H32" s="94"/>
      <c r="I32" s="94"/>
      <c r="J32" s="94"/>
      <c r="K32" s="94"/>
    </row>
    <row r="33" spans="1:11" ht="12.75">
      <c r="A33" s="514"/>
      <c r="B33" s="513"/>
      <c r="C33" s="513"/>
      <c r="D33" s="513"/>
      <c r="E33" s="515"/>
      <c r="F33" s="94"/>
      <c r="G33" s="94"/>
      <c r="H33" s="94"/>
      <c r="I33" s="94"/>
      <c r="J33" s="94"/>
      <c r="K33" s="94"/>
    </row>
    <row r="34" spans="1:11" ht="13.5" thickBot="1">
      <c r="A34" s="530" t="s">
        <v>162</v>
      </c>
      <c r="B34" s="531">
        <f>B32+C32+D32+E32</f>
        <v>1559630.854158</v>
      </c>
      <c r="C34" s="532"/>
      <c r="D34" s="532"/>
      <c r="E34" s="533"/>
      <c r="F34" s="94"/>
      <c r="G34" s="94"/>
      <c r="H34" s="94"/>
      <c r="I34" s="94"/>
      <c r="J34" s="94"/>
      <c r="K34" s="94"/>
    </row>
    <row r="35" ht="13.5" thickBot="1"/>
    <row r="36" spans="1:5" ht="12.75">
      <c r="A36" s="337" t="s">
        <v>201</v>
      </c>
      <c r="B36" s="327"/>
      <c r="C36" s="327"/>
      <c r="D36" s="327"/>
      <c r="E36" s="328"/>
    </row>
    <row r="37" spans="1:11" ht="12.75">
      <c r="A37" s="338" t="s">
        <v>150</v>
      </c>
      <c r="B37" s="3"/>
      <c r="C37" s="3"/>
      <c r="D37" s="3"/>
      <c r="E37" s="331"/>
      <c r="G37" s="429" t="s">
        <v>169</v>
      </c>
      <c r="H37" t="s">
        <v>170</v>
      </c>
      <c r="I37" t="s">
        <v>171</v>
      </c>
      <c r="J37" t="s">
        <v>172</v>
      </c>
      <c r="K37" t="s">
        <v>173</v>
      </c>
    </row>
    <row r="38" spans="1:11" ht="12.75">
      <c r="A38" s="330"/>
      <c r="B38" s="210" t="s">
        <v>202</v>
      </c>
      <c r="C38" s="210" t="s">
        <v>207</v>
      </c>
      <c r="D38" s="210" t="s">
        <v>208</v>
      </c>
      <c r="E38" s="339" t="s">
        <v>209</v>
      </c>
      <c r="G38" s="429" t="s">
        <v>174</v>
      </c>
      <c r="H38" s="430">
        <v>1.7619</v>
      </c>
      <c r="I38" s="430">
        <v>1.7617</v>
      </c>
      <c r="J38" s="430">
        <v>1.9123</v>
      </c>
      <c r="K38" s="431">
        <f>(H38+I38+J38)/3</f>
        <v>1.8119666666666667</v>
      </c>
    </row>
    <row r="39" spans="1:5" ht="12.75">
      <c r="A39" s="290" t="s">
        <v>155</v>
      </c>
      <c r="B39" s="333">
        <v>44163</v>
      </c>
      <c r="C39" s="333">
        <v>44697</v>
      </c>
      <c r="D39" s="333">
        <v>53518</v>
      </c>
      <c r="E39" s="502">
        <v>46465</v>
      </c>
    </row>
    <row r="40" spans="1:11" ht="12.75">
      <c r="A40" s="290" t="s">
        <v>156</v>
      </c>
      <c r="B40" s="333"/>
      <c r="C40" s="333"/>
      <c r="D40" s="333"/>
      <c r="E40" s="502"/>
      <c r="G40" s="429" t="s">
        <v>178</v>
      </c>
      <c r="H40" t="s">
        <v>185</v>
      </c>
      <c r="I40" t="s">
        <v>186</v>
      </c>
      <c r="J40" t="s">
        <v>187</v>
      </c>
      <c r="K40" t="s">
        <v>173</v>
      </c>
    </row>
    <row r="41" spans="1:11" ht="12.75">
      <c r="A41" s="290" t="s">
        <v>157</v>
      </c>
      <c r="B41" s="333">
        <v>38938</v>
      </c>
      <c r="C41" s="333">
        <v>55084</v>
      </c>
      <c r="D41" s="333">
        <v>61573</v>
      </c>
      <c r="E41" s="502">
        <v>50482</v>
      </c>
      <c r="G41" s="429" t="s">
        <v>174</v>
      </c>
      <c r="H41" s="430">
        <v>1.7992</v>
      </c>
      <c r="I41" s="430">
        <v>1.7821</v>
      </c>
      <c r="J41" s="430">
        <v>1.712</v>
      </c>
      <c r="K41" s="431">
        <f>(H41+I41+J41)/3</f>
        <v>1.764433333333333</v>
      </c>
    </row>
    <row r="42" spans="1:5" ht="12.75">
      <c r="A42" s="290" t="s">
        <v>158</v>
      </c>
      <c r="B42" s="333">
        <v>64745</v>
      </c>
      <c r="C42" s="333">
        <v>55683</v>
      </c>
      <c r="D42" s="333">
        <v>82268</v>
      </c>
      <c r="E42" s="502">
        <v>67775</v>
      </c>
    </row>
    <row r="43" spans="1:11" ht="12.75">
      <c r="A43" s="290" t="s">
        <v>159</v>
      </c>
      <c r="B43" s="333">
        <v>51796</v>
      </c>
      <c r="C43" s="333">
        <v>54711</v>
      </c>
      <c r="D43" s="333">
        <v>65364</v>
      </c>
      <c r="E43" s="502">
        <v>70778</v>
      </c>
      <c r="G43" s="429" t="s">
        <v>184</v>
      </c>
      <c r="H43" t="s">
        <v>188</v>
      </c>
      <c r="I43" t="s">
        <v>189</v>
      </c>
      <c r="J43" t="s">
        <v>190</v>
      </c>
      <c r="K43" t="s">
        <v>173</v>
      </c>
    </row>
    <row r="44" spans="1:11" ht="12.75">
      <c r="A44" s="290" t="s">
        <v>67</v>
      </c>
      <c r="B44" s="334">
        <f>SUM(B39:B43)</f>
        <v>199642</v>
      </c>
      <c r="C44" s="334">
        <f>SUM(C39:C43)</f>
        <v>210175</v>
      </c>
      <c r="D44" s="334">
        <f>SUM(D39:D43)</f>
        <v>262723</v>
      </c>
      <c r="E44" s="341">
        <f>SUM(E39:E43)</f>
        <v>235500</v>
      </c>
      <c r="G44" s="429" t="s">
        <v>174</v>
      </c>
      <c r="H44" s="430">
        <v>1.7723</v>
      </c>
      <c r="I44" s="430">
        <v>1.7355</v>
      </c>
      <c r="J44" s="430">
        <v>1.6958</v>
      </c>
      <c r="K44" s="431">
        <f>(H44+I44+J44)/3</f>
        <v>1.7345333333333333</v>
      </c>
    </row>
    <row r="45" spans="1:5" ht="12.75">
      <c r="A45" s="330"/>
      <c r="B45" s="3"/>
      <c r="C45" s="3"/>
      <c r="D45" s="3"/>
      <c r="E45" s="331"/>
    </row>
    <row r="46" spans="1:11" ht="12.75">
      <c r="A46" s="330" t="s">
        <v>160</v>
      </c>
      <c r="B46" s="335">
        <v>1.812</v>
      </c>
      <c r="C46" s="342">
        <v>1.7644</v>
      </c>
      <c r="D46" s="342">
        <v>1.7345</v>
      </c>
      <c r="E46" s="343">
        <v>1.6158</v>
      </c>
      <c r="G46" s="429" t="s">
        <v>194</v>
      </c>
      <c r="H46" t="s">
        <v>195</v>
      </c>
      <c r="I46" t="s">
        <v>196</v>
      </c>
      <c r="J46" t="s">
        <v>197</v>
      </c>
      <c r="K46" t="s">
        <v>173</v>
      </c>
    </row>
    <row r="47" spans="1:11" ht="13.5" thickBot="1">
      <c r="A47" s="329" t="s">
        <v>161</v>
      </c>
      <c r="B47" s="336">
        <f>B44*B46</f>
        <v>361751.304</v>
      </c>
      <c r="C47" s="336">
        <f>C44*C46</f>
        <v>370832.77</v>
      </c>
      <c r="D47" s="336">
        <f>D44*D46</f>
        <v>455693.04349999997</v>
      </c>
      <c r="E47" s="344">
        <f>E44*E46</f>
        <v>380520.89999999997</v>
      </c>
      <c r="G47" s="429" t="s">
        <v>174</v>
      </c>
      <c r="H47">
        <v>1.708</v>
      </c>
      <c r="I47">
        <v>1.599</v>
      </c>
      <c r="J47">
        <v>1.5403</v>
      </c>
      <c r="K47" s="431">
        <f>(H47+I47+J47)/3</f>
        <v>1.6157666666666666</v>
      </c>
    </row>
    <row r="48" spans="1:5" ht="13.5" thickTop="1">
      <c r="A48" s="330"/>
      <c r="B48" s="3"/>
      <c r="C48" s="3"/>
      <c r="D48" s="3"/>
      <c r="E48" s="331"/>
    </row>
    <row r="49" spans="1:5" ht="12.75">
      <c r="A49" s="330" t="s">
        <v>168</v>
      </c>
      <c r="B49" s="345">
        <f>B47</f>
        <v>361751.304</v>
      </c>
      <c r="C49" s="345">
        <f>C47</f>
        <v>370832.77</v>
      </c>
      <c r="D49" s="345">
        <f>D47</f>
        <v>455693.04349999997</v>
      </c>
      <c r="E49" s="346">
        <f>E47</f>
        <v>380520.89999999997</v>
      </c>
    </row>
    <row r="50" spans="1:5" ht="12.75">
      <c r="A50" s="330"/>
      <c r="B50" s="210"/>
      <c r="C50" s="210"/>
      <c r="D50" s="210"/>
      <c r="E50" s="339"/>
    </row>
    <row r="51" spans="1:5" ht="13.5" thickBot="1">
      <c r="A51" s="332" t="s">
        <v>162</v>
      </c>
      <c r="B51" s="347">
        <f>B49+C49+D49+E49</f>
        <v>1568798.0174999998</v>
      </c>
      <c r="C51" s="348"/>
      <c r="D51" s="348"/>
      <c r="E51" s="349"/>
    </row>
    <row r="52" ht="13.5" thickBot="1"/>
    <row r="53" spans="1:5" ht="12.75">
      <c r="A53" s="337" t="s">
        <v>242</v>
      </c>
      <c r="B53" s="327"/>
      <c r="C53" s="327"/>
      <c r="D53" s="327"/>
      <c r="E53" s="328"/>
    </row>
    <row r="54" spans="1:11" ht="12.75">
      <c r="A54" s="338" t="s">
        <v>150</v>
      </c>
      <c r="B54" s="3"/>
      <c r="C54" s="3"/>
      <c r="D54" s="3"/>
      <c r="E54" s="331"/>
      <c r="G54" s="429" t="s">
        <v>169</v>
      </c>
      <c r="H54" t="s">
        <v>170</v>
      </c>
      <c r="I54" t="s">
        <v>171</v>
      </c>
      <c r="J54" t="s">
        <v>172</v>
      </c>
      <c r="K54" t="s">
        <v>173</v>
      </c>
    </row>
    <row r="55" spans="1:11" ht="12.75">
      <c r="A55" s="330"/>
      <c r="B55" s="210" t="s">
        <v>249</v>
      </c>
      <c r="C55" s="210" t="s">
        <v>250</v>
      </c>
      <c r="D55" s="210" t="s">
        <v>251</v>
      </c>
      <c r="E55" s="339" t="s">
        <v>252</v>
      </c>
      <c r="G55" s="429" t="s">
        <v>174</v>
      </c>
      <c r="H55" s="594">
        <v>1.553</v>
      </c>
      <c r="I55" s="430">
        <v>1.5179</v>
      </c>
      <c r="J55" s="768">
        <v>1.5907</v>
      </c>
      <c r="K55" s="431">
        <f>(H55+I55+J55)/3</f>
        <v>1.5538666666666667</v>
      </c>
    </row>
    <row r="56" spans="1:5" ht="12.75">
      <c r="A56" s="290" t="s">
        <v>155</v>
      </c>
      <c r="B56" s="333">
        <v>43383</v>
      </c>
      <c r="C56" s="333">
        <v>52950</v>
      </c>
      <c r="D56" s="333">
        <v>58734</v>
      </c>
      <c r="E56" s="502">
        <v>57510</v>
      </c>
    </row>
    <row r="57" spans="1:11" ht="12.75">
      <c r="A57" s="290" t="s">
        <v>156</v>
      </c>
      <c r="B57" s="333"/>
      <c r="C57" s="333">
        <f>3676+1414</f>
        <v>5090</v>
      </c>
      <c r="D57" s="333">
        <v>3132</v>
      </c>
      <c r="E57" s="502"/>
      <c r="G57" s="429" t="s">
        <v>178</v>
      </c>
      <c r="H57" t="s">
        <v>185</v>
      </c>
      <c r="I57" t="s">
        <v>186</v>
      </c>
      <c r="J57" t="s">
        <v>187</v>
      </c>
      <c r="K57" t="s">
        <v>173</v>
      </c>
    </row>
    <row r="58" spans="1:11" ht="12.75">
      <c r="A58" s="290" t="s">
        <v>157</v>
      </c>
      <c r="B58" s="333">
        <v>50039</v>
      </c>
      <c r="C58" s="333">
        <v>47480</v>
      </c>
      <c r="D58" s="333">
        <v>52259</v>
      </c>
      <c r="E58" s="502">
        <v>49927</v>
      </c>
      <c r="G58" s="429" t="s">
        <v>174</v>
      </c>
      <c r="H58" s="768">
        <v>1.6122</v>
      </c>
      <c r="I58" s="622">
        <v>1.6348</v>
      </c>
      <c r="J58" s="622">
        <v>1.6132</v>
      </c>
      <c r="K58" s="431">
        <f>(H58+I58+J58)/3</f>
        <v>1.6200666666666665</v>
      </c>
    </row>
    <row r="59" spans="1:5" ht="12.75">
      <c r="A59" s="290" t="s">
        <v>158</v>
      </c>
      <c r="B59" s="333">
        <v>74214</v>
      </c>
      <c r="C59" s="333">
        <v>73351</v>
      </c>
      <c r="D59" s="333">
        <v>63950</v>
      </c>
      <c r="E59" s="502">
        <v>62135</v>
      </c>
    </row>
    <row r="60" spans="1:11" ht="12.75">
      <c r="A60" s="664" t="s">
        <v>271</v>
      </c>
      <c r="B60" s="333">
        <v>82090</v>
      </c>
      <c r="C60" s="333">
        <v>86813</v>
      </c>
      <c r="D60" s="333">
        <v>87052</v>
      </c>
      <c r="E60" s="502">
        <v>95173</v>
      </c>
      <c r="G60" s="429" t="s">
        <v>184</v>
      </c>
      <c r="K60" t="s">
        <v>173</v>
      </c>
    </row>
    <row r="61" spans="1:11" ht="12.75">
      <c r="A61" s="290" t="s">
        <v>67</v>
      </c>
      <c r="B61" s="334">
        <f>SUM(B56:B60)</f>
        <v>249726</v>
      </c>
      <c r="C61" s="334">
        <f>SUM(C56:C60)</f>
        <v>265684</v>
      </c>
      <c r="D61" s="334">
        <f>SUM(D56:D60)</f>
        <v>265127</v>
      </c>
      <c r="E61" s="341">
        <f>SUM(E56:E60)</f>
        <v>264745</v>
      </c>
      <c r="G61" s="429" t="s">
        <v>174</v>
      </c>
      <c r="H61" s="430">
        <v>1.6271</v>
      </c>
      <c r="I61" s="430">
        <v>1.5978</v>
      </c>
      <c r="J61" s="430">
        <v>1.5561</v>
      </c>
      <c r="K61" s="431">
        <f>(H61+I61+J61)/3</f>
        <v>1.5936666666666666</v>
      </c>
    </row>
    <row r="62" spans="1:5" ht="12.75">
      <c r="A62" s="330"/>
      <c r="B62" s="3"/>
      <c r="C62" s="3"/>
      <c r="D62" s="3"/>
      <c r="E62" s="331"/>
    </row>
    <row r="63" spans="1:11" ht="12.75">
      <c r="A63" s="330" t="s">
        <v>160</v>
      </c>
      <c r="B63" s="335">
        <f>K55</f>
        <v>1.5538666666666667</v>
      </c>
      <c r="C63" s="342">
        <f>K58</f>
        <v>1.6200666666666665</v>
      </c>
      <c r="D63" s="342">
        <f>K61</f>
        <v>1.5936666666666666</v>
      </c>
      <c r="E63" s="343">
        <f>K64</f>
        <v>1.5808</v>
      </c>
      <c r="G63" s="429" t="s">
        <v>194</v>
      </c>
      <c r="K63" t="s">
        <v>173</v>
      </c>
    </row>
    <row r="64" spans="1:11" ht="13.5" thickBot="1">
      <c r="A64" s="329" t="s">
        <v>161</v>
      </c>
      <c r="B64" s="336">
        <f>B61*B63</f>
        <v>388040.9072</v>
      </c>
      <c r="C64" s="336">
        <f>C61*C63</f>
        <v>430425.79226666666</v>
      </c>
      <c r="D64" s="336">
        <f>D61*D63</f>
        <v>422524.0623333333</v>
      </c>
      <c r="E64" s="344">
        <f>E61*E63</f>
        <v>418508.896</v>
      </c>
      <c r="G64" s="429" t="s">
        <v>174</v>
      </c>
      <c r="H64" s="430">
        <v>1.604</v>
      </c>
      <c r="I64" s="768">
        <v>1.5801</v>
      </c>
      <c r="J64" s="430">
        <v>1.5583</v>
      </c>
      <c r="K64" s="431">
        <f>(H64+I64+J64)/3</f>
        <v>1.5808</v>
      </c>
    </row>
    <row r="65" spans="1:5" ht="13.5" thickTop="1">
      <c r="A65" s="330"/>
      <c r="B65" s="3"/>
      <c r="C65" s="3"/>
      <c r="D65" s="3"/>
      <c r="E65" s="331"/>
    </row>
    <row r="66" spans="1:5" ht="12.75">
      <c r="A66" s="330" t="s">
        <v>168</v>
      </c>
      <c r="B66" s="345">
        <f>B64</f>
        <v>388040.9072</v>
      </c>
      <c r="C66" s="345">
        <f>C64</f>
        <v>430425.79226666666</v>
      </c>
      <c r="D66" s="345">
        <f>D64</f>
        <v>422524.0623333333</v>
      </c>
      <c r="E66" s="346">
        <f>E64</f>
        <v>418508.896</v>
      </c>
    </row>
    <row r="67" spans="1:5" ht="12.75">
      <c r="A67" s="330"/>
      <c r="B67" s="210"/>
      <c r="C67" s="210"/>
      <c r="D67" s="210"/>
      <c r="E67" s="339"/>
    </row>
    <row r="68" spans="1:5" ht="13.5" thickBot="1">
      <c r="A68" s="332" t="s">
        <v>162</v>
      </c>
      <c r="B68" s="347">
        <f>B66+C66+D66+E66</f>
        <v>1659499.6578</v>
      </c>
      <c r="C68" s="348"/>
      <c r="D68" s="348"/>
      <c r="E68" s="349"/>
    </row>
    <row r="69" ht="13.5" thickBot="1"/>
    <row r="70" spans="1:5" ht="12.75">
      <c r="A70" s="337" t="s">
        <v>280</v>
      </c>
      <c r="B70" s="327"/>
      <c r="C70" s="327"/>
      <c r="D70" s="327"/>
      <c r="E70" s="328"/>
    </row>
    <row r="71" spans="1:11" ht="12.75">
      <c r="A71" s="338" t="s">
        <v>150</v>
      </c>
      <c r="B71" s="3"/>
      <c r="C71" s="3"/>
      <c r="D71" s="3"/>
      <c r="E71" s="331"/>
      <c r="G71" s="429" t="s">
        <v>169</v>
      </c>
      <c r="H71" t="s">
        <v>170</v>
      </c>
      <c r="I71" t="s">
        <v>171</v>
      </c>
      <c r="J71" t="s">
        <v>172</v>
      </c>
      <c r="K71" t="s">
        <v>173</v>
      </c>
    </row>
    <row r="72" spans="1:11" ht="12.75">
      <c r="A72" s="330"/>
      <c r="B72" s="210" t="s">
        <v>286</v>
      </c>
      <c r="C72" s="210" t="s">
        <v>287</v>
      </c>
      <c r="D72" s="210" t="s">
        <v>288</v>
      </c>
      <c r="E72" s="339" t="s">
        <v>289</v>
      </c>
      <c r="F72" s="429" t="s">
        <v>329</v>
      </c>
      <c r="G72" s="429" t="s">
        <v>174</v>
      </c>
      <c r="H72" s="594">
        <v>1.5823</v>
      </c>
      <c r="I72" s="430">
        <v>1.594</v>
      </c>
      <c r="J72" s="768">
        <v>1.5474</v>
      </c>
      <c r="K72" s="431">
        <f>(H72+I72+J72)/3</f>
        <v>1.574566666666667</v>
      </c>
    </row>
    <row r="73" spans="1:6" ht="12.75">
      <c r="A73" s="664" t="s">
        <v>303</v>
      </c>
      <c r="B73" s="333">
        <v>73040</v>
      </c>
      <c r="C73" s="333">
        <v>76527</v>
      </c>
      <c r="D73" s="333">
        <v>70303</v>
      </c>
      <c r="E73" s="502">
        <f>F73-SUM(B73:D73)</f>
        <v>64093</v>
      </c>
      <c r="F73" s="767">
        <v>283963</v>
      </c>
    </row>
    <row r="74" spans="1:11" ht="12.75">
      <c r="A74" s="664" t="s">
        <v>302</v>
      </c>
      <c r="B74" s="333">
        <v>2472</v>
      </c>
      <c r="C74" s="333">
        <v>2724</v>
      </c>
      <c r="D74" s="333">
        <v>2776</v>
      </c>
      <c r="E74" s="502">
        <f>F74-SUM(B74:D74)</f>
        <v>2756</v>
      </c>
      <c r="F74" s="767">
        <v>10728</v>
      </c>
      <c r="G74" s="429" t="s">
        <v>178</v>
      </c>
      <c r="H74" t="s">
        <v>185</v>
      </c>
      <c r="I74" t="s">
        <v>186</v>
      </c>
      <c r="J74" t="s">
        <v>187</v>
      </c>
      <c r="K74" t="s">
        <v>173</v>
      </c>
    </row>
    <row r="75" spans="1:11" ht="12.75">
      <c r="A75" s="290" t="s">
        <v>157</v>
      </c>
      <c r="B75" s="333">
        <v>63896</v>
      </c>
      <c r="C75" s="333">
        <v>65464</v>
      </c>
      <c r="D75" s="333">
        <v>57467</v>
      </c>
      <c r="E75" s="502">
        <f>F75-SUM(B75:D75)</f>
        <v>58420</v>
      </c>
      <c r="F75" s="767">
        <v>245247</v>
      </c>
      <c r="G75" s="429" t="s">
        <v>174</v>
      </c>
      <c r="H75" s="768">
        <v>1.5686</v>
      </c>
      <c r="I75" s="430">
        <v>1.5925</v>
      </c>
      <c r="J75" s="430">
        <v>1.6286</v>
      </c>
      <c r="K75" s="431">
        <f>(H75+I75+J75)/3</f>
        <v>1.5965666666666667</v>
      </c>
    </row>
    <row r="76" spans="1:6" ht="12.75">
      <c r="A76" s="290" t="s">
        <v>158</v>
      </c>
      <c r="B76" s="333">
        <v>92392</v>
      </c>
      <c r="C76" s="333">
        <v>91766</v>
      </c>
      <c r="D76" s="333">
        <v>88020</v>
      </c>
      <c r="E76" s="502">
        <f>F76-SUM(B76:D76)</f>
        <v>83559</v>
      </c>
      <c r="F76" s="767">
        <v>355737</v>
      </c>
    </row>
    <row r="77" spans="1:11" ht="12.75">
      <c r="A77" s="664" t="s">
        <v>271</v>
      </c>
      <c r="B77" s="333">
        <v>103249</v>
      </c>
      <c r="C77" s="333">
        <v>103058</v>
      </c>
      <c r="D77" s="333">
        <v>94119</v>
      </c>
      <c r="E77" s="502">
        <f>F77-SUM(B77:D77)</f>
        <v>85407</v>
      </c>
      <c r="F77" s="767">
        <v>385833</v>
      </c>
      <c r="G77" s="429" t="s">
        <v>184</v>
      </c>
      <c r="H77" t="s">
        <v>188</v>
      </c>
      <c r="I77" t="s">
        <v>189</v>
      </c>
      <c r="J77" s="2" t="s">
        <v>190</v>
      </c>
      <c r="K77" t="s">
        <v>173</v>
      </c>
    </row>
    <row r="78" spans="1:11" ht="12.75">
      <c r="A78" s="290" t="s">
        <v>67</v>
      </c>
      <c r="B78" s="334">
        <f>SUM(B73:B77)</f>
        <v>335049</v>
      </c>
      <c r="C78" s="334">
        <f>SUM(C73:C77)</f>
        <v>339539</v>
      </c>
      <c r="D78" s="334">
        <f>SUM(D73:D77)</f>
        <v>312685</v>
      </c>
      <c r="E78" s="341">
        <f>SUM(E73:E77)</f>
        <v>294235</v>
      </c>
      <c r="G78" s="429" t="s">
        <v>174</v>
      </c>
      <c r="H78" s="430">
        <v>1.6015</v>
      </c>
      <c r="I78" s="430">
        <v>1.6014</v>
      </c>
      <c r="J78" s="430">
        <v>1.5822</v>
      </c>
      <c r="K78" s="431">
        <f>(H78+I78+J78)/3</f>
        <v>1.5950333333333333</v>
      </c>
    </row>
    <row r="79" spans="1:5" ht="12.75">
      <c r="A79" s="290"/>
      <c r="B79" s="772"/>
      <c r="C79" s="772"/>
      <c r="D79" s="772"/>
      <c r="E79" s="773"/>
    </row>
    <row r="80" spans="1:11" ht="12.75">
      <c r="A80" s="664" t="s">
        <v>332</v>
      </c>
      <c r="B80" s="772">
        <v>0</v>
      </c>
      <c r="C80" s="772">
        <v>0</v>
      </c>
      <c r="D80" s="772">
        <v>0</v>
      </c>
      <c r="E80" s="773">
        <v>448523</v>
      </c>
      <c r="G80" s="429" t="s">
        <v>194</v>
      </c>
      <c r="H80" s="771" t="s">
        <v>199</v>
      </c>
      <c r="I80" s="771" t="s">
        <v>200</v>
      </c>
      <c r="J80" s="771" t="s">
        <v>198</v>
      </c>
      <c r="K80" t="s">
        <v>173</v>
      </c>
    </row>
    <row r="81" spans="1:11" ht="12.75">
      <c r="A81" s="330"/>
      <c r="B81" s="3"/>
      <c r="C81" s="3"/>
      <c r="D81" s="3"/>
      <c r="E81" s="331"/>
      <c r="G81" s="429" t="s">
        <v>174</v>
      </c>
      <c r="H81" s="770">
        <v>1.5789</v>
      </c>
      <c r="I81" s="769">
        <v>1.5758</v>
      </c>
      <c r="J81" s="770">
        <v>1.596</v>
      </c>
      <c r="K81" s="431">
        <f>(H81+I81+J81)/3</f>
        <v>1.5835666666666668</v>
      </c>
    </row>
    <row r="82" spans="1:5" ht="12.75">
      <c r="A82" s="330" t="s">
        <v>160</v>
      </c>
      <c r="B82" s="335">
        <f>K72</f>
        <v>1.574566666666667</v>
      </c>
      <c r="C82" s="342">
        <f>K75</f>
        <v>1.5965666666666667</v>
      </c>
      <c r="D82" s="342">
        <f>K78</f>
        <v>1.5950333333333333</v>
      </c>
      <c r="E82" s="343">
        <f>K81</f>
        <v>1.5835666666666668</v>
      </c>
    </row>
    <row r="83" spans="1:6" ht="13.5" thickBot="1">
      <c r="A83" s="329" t="s">
        <v>161</v>
      </c>
      <c r="B83" s="336">
        <f>(B78+B80)*B82</f>
        <v>527556.9871</v>
      </c>
      <c r="C83" s="336">
        <f>(C78+C80)*C82</f>
        <v>542096.6494333333</v>
      </c>
      <c r="D83" s="336">
        <f>(D78+D80)*D82</f>
        <v>498742.9978333333</v>
      </c>
      <c r="E83" s="344">
        <f>(E78)*E82+E80*J81</f>
        <v>1181783.4461666667</v>
      </c>
      <c r="F83" s="774"/>
    </row>
    <row r="84" spans="1:5" ht="13.5" thickTop="1">
      <c r="A84" s="330"/>
      <c r="B84" s="3"/>
      <c r="C84" s="3"/>
      <c r="D84" s="3"/>
      <c r="E84" s="331"/>
    </row>
    <row r="85" spans="1:5" ht="12.75">
      <c r="A85" s="330" t="s">
        <v>168</v>
      </c>
      <c r="B85" s="345">
        <f>B83</f>
        <v>527556.9871</v>
      </c>
      <c r="C85" s="345">
        <f>C83</f>
        <v>542096.6494333333</v>
      </c>
      <c r="D85" s="345">
        <f>D83</f>
        <v>498742.9978333333</v>
      </c>
      <c r="E85" s="346">
        <f>E83</f>
        <v>1181783.4461666667</v>
      </c>
    </row>
    <row r="86" spans="1:5" ht="12.75">
      <c r="A86" s="330"/>
      <c r="B86" s="210"/>
      <c r="C86" s="210"/>
      <c r="D86" s="210"/>
      <c r="E86" s="339"/>
    </row>
    <row r="87" spans="1:5" ht="13.5" thickBot="1">
      <c r="A87" s="332" t="s">
        <v>162</v>
      </c>
      <c r="B87" s="347">
        <f>B85+C85+D85+E85</f>
        <v>2750180.0805333336</v>
      </c>
      <c r="C87" s="348"/>
      <c r="D87" s="348"/>
      <c r="E87" s="349"/>
    </row>
    <row r="88" ht="13.5" thickBot="1"/>
    <row r="89" spans="1:5" ht="12.75">
      <c r="A89" s="337" t="s">
        <v>366</v>
      </c>
      <c r="B89" s="327"/>
      <c r="C89" s="327"/>
      <c r="D89" s="327"/>
      <c r="E89" s="328"/>
    </row>
    <row r="90" spans="1:11" ht="12.75">
      <c r="A90" s="338" t="s">
        <v>150</v>
      </c>
      <c r="B90" s="3"/>
      <c r="C90" s="3"/>
      <c r="D90" s="3"/>
      <c r="E90" s="331"/>
      <c r="H90" s="429" t="s">
        <v>169</v>
      </c>
      <c r="I90" s="429" t="s">
        <v>178</v>
      </c>
      <c r="J90" s="429" t="s">
        <v>184</v>
      </c>
      <c r="K90" s="429" t="s">
        <v>194</v>
      </c>
    </row>
    <row r="91" spans="1:11" ht="12.75">
      <c r="A91" s="330"/>
      <c r="B91" s="210" t="s">
        <v>368</v>
      </c>
      <c r="C91" s="210" t="s">
        <v>369</v>
      </c>
      <c r="D91" s="210" t="s">
        <v>370</v>
      </c>
      <c r="E91" s="339" t="s">
        <v>371</v>
      </c>
      <c r="F91" s="429"/>
      <c r="G91" s="429" t="s">
        <v>174</v>
      </c>
      <c r="H91" s="431">
        <v>1.5998</v>
      </c>
      <c r="I91" s="431">
        <v>1.5858</v>
      </c>
      <c r="J91" s="431">
        <v>1.6043</v>
      </c>
      <c r="K91" s="431">
        <v>1.5618</v>
      </c>
    </row>
    <row r="92" spans="1:6" ht="12.75">
      <c r="A92" s="664" t="s">
        <v>377</v>
      </c>
      <c r="B92" s="333">
        <v>836755</v>
      </c>
      <c r="C92" s="333">
        <v>849338</v>
      </c>
      <c r="D92" s="333">
        <v>652370</v>
      </c>
      <c r="E92" s="502">
        <f>744141</f>
        <v>744141</v>
      </c>
      <c r="F92" s="767" t="s">
        <v>426</v>
      </c>
    </row>
    <row r="93" spans="1:5" ht="12.75">
      <c r="A93" s="330"/>
      <c r="B93" s="3"/>
      <c r="C93" s="3"/>
      <c r="D93" s="3"/>
      <c r="E93" s="331"/>
    </row>
    <row r="94" spans="1:5" ht="12.75">
      <c r="A94" s="330" t="s">
        <v>160</v>
      </c>
      <c r="B94" s="335">
        <f>H91</f>
        <v>1.5998</v>
      </c>
      <c r="C94" s="342">
        <f>I91</f>
        <v>1.5858</v>
      </c>
      <c r="D94" s="342">
        <f>J91</f>
        <v>1.6043</v>
      </c>
      <c r="E94" s="343">
        <f>K91</f>
        <v>1.5618</v>
      </c>
    </row>
    <row r="95" spans="1:6" ht="13.5" thickBot="1">
      <c r="A95" s="329" t="s">
        <v>161</v>
      </c>
      <c r="B95" s="336">
        <f>(B92)*B94</f>
        <v>1338640.6490000002</v>
      </c>
      <c r="C95" s="336">
        <f>(C92)*C94</f>
        <v>1346880.2004</v>
      </c>
      <c r="D95" s="336">
        <f>(D92)*D94</f>
        <v>1046597.191</v>
      </c>
      <c r="E95" s="344">
        <f>(E92)*E94</f>
        <v>1162199.4138</v>
      </c>
      <c r="F95" s="774"/>
    </row>
    <row r="96" spans="1:5" ht="13.5" thickTop="1">
      <c r="A96" s="330"/>
      <c r="B96" s="3"/>
      <c r="C96" s="3"/>
      <c r="D96" s="3"/>
      <c r="E96" s="331"/>
    </row>
    <row r="97" spans="1:5" ht="12.75">
      <c r="A97" s="330" t="s">
        <v>168</v>
      </c>
      <c r="B97" s="345">
        <f>B95</f>
        <v>1338640.6490000002</v>
      </c>
      <c r="C97" s="345">
        <f>C95</f>
        <v>1346880.2004</v>
      </c>
      <c r="D97" s="345">
        <f>D95</f>
        <v>1046597.191</v>
      </c>
      <c r="E97" s="346">
        <f>E95</f>
        <v>1162199.4138</v>
      </c>
    </row>
    <row r="98" spans="1:5" ht="12.75">
      <c r="A98" s="330"/>
      <c r="B98" s="210"/>
      <c r="C98" s="210"/>
      <c r="D98" s="210"/>
      <c r="E98" s="339"/>
    </row>
    <row r="99" spans="1:5" ht="13.5" thickBot="1">
      <c r="A99" s="332" t="s">
        <v>162</v>
      </c>
      <c r="B99" s="347">
        <f>B97+C97+D97+E97</f>
        <v>4894317.4542000005</v>
      </c>
      <c r="C99" s="348"/>
      <c r="D99" s="348"/>
      <c r="E99" s="349"/>
    </row>
    <row r="101" spans="1:5" ht="12.75">
      <c r="A101" t="s">
        <v>410</v>
      </c>
      <c r="B101" s="326">
        <v>93708</v>
      </c>
      <c r="C101" s="326">
        <v>84792</v>
      </c>
      <c r="D101" s="326">
        <v>79766</v>
      </c>
      <c r="E101" s="326">
        <v>27303</v>
      </c>
    </row>
    <row r="102" spans="1:5" ht="13.5" thickBot="1">
      <c r="A102" s="329" t="s">
        <v>161</v>
      </c>
      <c r="B102" s="336">
        <f>(B94)*B101</f>
        <v>149914.0584</v>
      </c>
      <c r="C102" s="336">
        <f>(C94)*C101</f>
        <v>134463.15360000002</v>
      </c>
      <c r="D102" s="336">
        <f>(D94)*D101</f>
        <v>127968.5938</v>
      </c>
      <c r="E102" s="336">
        <f>(E94)*E101</f>
        <v>42641.8254</v>
      </c>
    </row>
    <row r="103" spans="2:5" ht="14.25" thickBot="1" thickTop="1">
      <c r="B103" s="326"/>
      <c r="C103" s="326"/>
      <c r="D103" s="326"/>
      <c r="E103" s="326"/>
    </row>
    <row r="104" spans="1:5" ht="12.75">
      <c r="A104" s="337" t="s">
        <v>432</v>
      </c>
      <c r="B104" s="327"/>
      <c r="C104" s="327"/>
      <c r="D104" s="327"/>
      <c r="E104" s="328"/>
    </row>
    <row r="105" spans="1:11" ht="12.75">
      <c r="A105" s="338" t="s">
        <v>150</v>
      </c>
      <c r="B105" s="3"/>
      <c r="C105" s="3"/>
      <c r="D105" s="3"/>
      <c r="E105" s="331"/>
      <c r="H105" s="429" t="s">
        <v>169</v>
      </c>
      <c r="I105" s="429" t="s">
        <v>178</v>
      </c>
      <c r="J105" s="429" t="s">
        <v>184</v>
      </c>
      <c r="K105" s="429" t="s">
        <v>194</v>
      </c>
    </row>
    <row r="106" spans="1:11" ht="12.75">
      <c r="A106" s="330"/>
      <c r="B106" s="210" t="s">
        <v>437</v>
      </c>
      <c r="C106" s="210" t="s">
        <v>438</v>
      </c>
      <c r="D106" s="210" t="s">
        <v>439</v>
      </c>
      <c r="E106" s="339" t="s">
        <v>440</v>
      </c>
      <c r="F106" s="429"/>
      <c r="G106" s="429" t="s">
        <v>174</v>
      </c>
      <c r="H106" s="431">
        <v>1.5991</v>
      </c>
      <c r="I106" s="431"/>
      <c r="J106" s="431"/>
      <c r="K106" s="431"/>
    </row>
    <row r="107" spans="1:6" ht="12.75">
      <c r="A107" s="664" t="s">
        <v>377</v>
      </c>
      <c r="B107" s="333">
        <v>983558</v>
      </c>
      <c r="C107" s="333"/>
      <c r="D107" s="333"/>
      <c r="E107" s="502"/>
      <c r="F107" s="767" t="s">
        <v>426</v>
      </c>
    </row>
    <row r="108" spans="1:5" ht="12.75">
      <c r="A108" s="330"/>
      <c r="B108" s="3"/>
      <c r="C108" s="3"/>
      <c r="D108" s="3"/>
      <c r="E108" s="331"/>
    </row>
    <row r="109" spans="1:5" ht="12.75">
      <c r="A109" s="330" t="s">
        <v>160</v>
      </c>
      <c r="B109" s="335">
        <f>H106</f>
        <v>1.5991</v>
      </c>
      <c r="C109" s="342">
        <f>I106</f>
        <v>0</v>
      </c>
      <c r="D109" s="342">
        <f>J106</f>
        <v>0</v>
      </c>
      <c r="E109" s="343">
        <f>K106</f>
        <v>0</v>
      </c>
    </row>
    <row r="110" spans="1:6" ht="13.5" thickBot="1">
      <c r="A110" s="329" t="s">
        <v>161</v>
      </c>
      <c r="B110" s="336">
        <f>(B107)*B109</f>
        <v>1572807.5977999999</v>
      </c>
      <c r="C110" s="336">
        <f>(C107)*C109</f>
        <v>0</v>
      </c>
      <c r="D110" s="336">
        <f>(D107)*D109</f>
        <v>0</v>
      </c>
      <c r="E110" s="344">
        <f>(E107)*E109</f>
        <v>0</v>
      </c>
      <c r="F110" s="774"/>
    </row>
    <row r="111" spans="1:5" ht="13.5" thickTop="1">
      <c r="A111" s="330"/>
      <c r="B111" s="3"/>
      <c r="C111" s="3"/>
      <c r="D111" s="3"/>
      <c r="E111" s="331"/>
    </row>
    <row r="112" spans="1:5" ht="12.75">
      <c r="A112" s="330" t="s">
        <v>168</v>
      </c>
      <c r="B112" s="345">
        <f>B110</f>
        <v>1572807.5977999999</v>
      </c>
      <c r="C112" s="345">
        <f>C110</f>
        <v>0</v>
      </c>
      <c r="D112" s="345">
        <f>D110</f>
        <v>0</v>
      </c>
      <c r="E112" s="346">
        <f>E110</f>
        <v>0</v>
      </c>
    </row>
    <row r="113" spans="1:5" ht="12.75">
      <c r="A113" s="330"/>
      <c r="B113" s="210"/>
      <c r="C113" s="210"/>
      <c r="D113" s="210"/>
      <c r="E113" s="339"/>
    </row>
    <row r="114" spans="1:5" ht="13.5" thickBot="1">
      <c r="A114" s="332" t="s">
        <v>162</v>
      </c>
      <c r="B114" s="347">
        <f>B112+C112+D112+E112</f>
        <v>1572807.5977999999</v>
      </c>
      <c r="C114" s="348"/>
      <c r="D114" s="348"/>
      <c r="E114" s="349"/>
    </row>
    <row r="116" spans="1:5" ht="12.75">
      <c r="A116" t="s">
        <v>410</v>
      </c>
      <c r="B116" s="326"/>
      <c r="C116" s="326"/>
      <c r="D116" s="326"/>
      <c r="E116" s="326"/>
    </row>
    <row r="117" spans="1:5" ht="13.5" thickBot="1">
      <c r="A117" s="329" t="s">
        <v>161</v>
      </c>
      <c r="B117" s="336">
        <f>(B109)*B116</f>
        <v>0</v>
      </c>
      <c r="C117" s="336">
        <f>(C109)*C116</f>
        <v>0</v>
      </c>
      <c r="D117" s="336">
        <f>(D109)*D116</f>
        <v>0</v>
      </c>
      <c r="E117" s="336">
        <f>(E109)*E116</f>
        <v>0</v>
      </c>
    </row>
    <row r="118" ht="13.5" thickTop="1"/>
  </sheetData>
  <sheetProtection/>
  <printOptions/>
  <pageMargins left="0.75" right="0.75" top="1" bottom="0.5" header="0.5" footer="0.5"/>
  <pageSetup horizontalDpi="600" verticalDpi="600" orientation="landscape" r:id="rId3"/>
  <headerFooter alignWithMargins="0">
    <oddFooter>&amp;L&amp;Z&amp;F&amp;R&amp;D&amp;T</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BB121"/>
  <sheetViews>
    <sheetView zoomScaleSheetLayoutView="70" workbookViewId="0" topLeftCell="A1">
      <selection activeCell="A1" sqref="A1"/>
    </sheetView>
  </sheetViews>
  <sheetFormatPr defaultColWidth="9.140625" defaultRowHeight="12.75"/>
  <cols>
    <col min="1" max="1" width="2.7109375" style="104" customWidth="1"/>
    <col min="2" max="2" width="41.421875" style="104" customWidth="1"/>
    <col min="3" max="4" width="9.7109375" style="104" customWidth="1"/>
    <col min="5" max="5" width="1.57421875" style="2" customWidth="1"/>
    <col min="6" max="6" width="10.00390625" style="2" hidden="1" customWidth="1"/>
    <col min="7" max="8" width="9.7109375" style="2" customWidth="1"/>
    <col min="9" max="9" width="10.140625" style="2" customWidth="1"/>
    <col min="10" max="12" width="10.00390625" style="2" customWidth="1"/>
    <col min="13" max="13" width="10.140625" style="2" customWidth="1"/>
    <col min="14" max="15" width="10.00390625" style="2" customWidth="1"/>
    <col min="16" max="25" width="10.00390625" style="2" hidden="1" customWidth="1"/>
    <col min="26" max="26" width="9.7109375" style="2" hidden="1" customWidth="1"/>
    <col min="27" max="28" width="9.28125" style="2" hidden="1" customWidth="1"/>
    <col min="29" max="37" width="9.28125" style="104" hidden="1" customWidth="1"/>
    <col min="38" max="38" width="1.57421875" style="104" customWidth="1"/>
    <col min="39" max="41" width="10.140625" style="104" customWidth="1"/>
    <col min="42" max="42" width="9.7109375" style="104" customWidth="1"/>
    <col min="43" max="43" width="1.57421875" style="104" customWidth="1"/>
    <col min="44" max="44" width="10.7109375" style="104" customWidth="1"/>
    <col min="45" max="46" width="10.28125" style="104" customWidth="1"/>
    <col min="47" max="47" width="10.140625" style="104" customWidth="1"/>
    <col min="48" max="48" width="10.00390625" style="104" customWidth="1"/>
    <col min="49" max="53" width="9.7109375" style="104" hidden="1" customWidth="1"/>
    <col min="54" max="54" width="1.57421875" style="104" customWidth="1"/>
    <col min="55" max="16384" width="9.140625" style="104" customWidth="1"/>
  </cols>
  <sheetData>
    <row r="2" spans="3:20" ht="12.75">
      <c r="C2" s="2"/>
      <c r="F2" s="868"/>
      <c r="G2" s="55"/>
      <c r="H2" s="55"/>
      <c r="J2" s="868"/>
      <c r="K2" s="55"/>
      <c r="L2" s="55"/>
      <c r="N2" s="868"/>
      <c r="O2" s="55"/>
      <c r="P2" s="55"/>
      <c r="R2" s="868"/>
      <c r="S2" s="55"/>
      <c r="T2" s="55"/>
    </row>
    <row r="3" spans="6:21" ht="12.75">
      <c r="F3" s="869"/>
      <c r="G3" s="55"/>
      <c r="H3" s="55"/>
      <c r="I3" s="150"/>
      <c r="J3" s="869"/>
      <c r="K3" s="55"/>
      <c r="L3" s="55"/>
      <c r="M3" s="150"/>
      <c r="N3" s="869"/>
      <c r="O3" s="55"/>
      <c r="P3" s="55"/>
      <c r="Q3" s="150"/>
      <c r="R3" s="868"/>
      <c r="S3" s="55"/>
      <c r="T3" s="55"/>
      <c r="U3" s="150"/>
    </row>
    <row r="4" spans="6:20" ht="12.75">
      <c r="F4" s="869"/>
      <c r="G4" s="55"/>
      <c r="H4" s="55"/>
      <c r="J4" s="869"/>
      <c r="K4" s="55"/>
      <c r="L4" s="55"/>
      <c r="N4" s="869"/>
      <c r="O4" s="55"/>
      <c r="P4" s="55"/>
      <c r="R4" s="868"/>
      <c r="S4" s="55"/>
      <c r="T4" s="55"/>
    </row>
    <row r="5" spans="1:31" ht="15">
      <c r="A5" s="2"/>
      <c r="B5" s="2"/>
      <c r="C5" s="2"/>
      <c r="D5" s="2"/>
      <c r="F5" s="791"/>
      <c r="G5" s="778"/>
      <c r="H5" s="778"/>
      <c r="I5" s="778"/>
      <c r="J5" s="791"/>
      <c r="K5" s="778"/>
      <c r="L5" s="778"/>
      <c r="M5" s="778"/>
      <c r="N5" s="791"/>
      <c r="O5" s="778"/>
      <c r="P5" s="778"/>
      <c r="Q5" s="778"/>
      <c r="R5" s="868"/>
      <c r="S5" s="55"/>
      <c r="T5" s="55"/>
      <c r="AC5" s="2"/>
      <c r="AD5" s="2"/>
      <c r="AE5" s="2"/>
    </row>
    <row r="6" spans="1:31" ht="15">
      <c r="A6" s="4" t="s">
        <v>0</v>
      </c>
      <c r="B6" s="5"/>
      <c r="C6" s="5"/>
      <c r="D6" s="5"/>
      <c r="E6" s="5"/>
      <c r="F6" s="792"/>
      <c r="G6" s="778"/>
      <c r="H6" s="778"/>
      <c r="I6" s="778"/>
      <c r="J6" s="792"/>
      <c r="K6" s="778"/>
      <c r="L6" s="778"/>
      <c r="M6" s="778"/>
      <c r="N6" s="792"/>
      <c r="O6" s="778"/>
      <c r="P6" s="778"/>
      <c r="Q6" s="778"/>
      <c r="R6" s="5"/>
      <c r="S6" s="5"/>
      <c r="T6" s="5"/>
      <c r="U6" s="5"/>
      <c r="V6" s="5"/>
      <c r="W6" s="5"/>
      <c r="X6" s="5"/>
      <c r="Y6" s="5"/>
      <c r="Z6" s="5"/>
      <c r="AA6" s="5"/>
      <c r="AB6" s="5"/>
      <c r="AC6" s="2"/>
      <c r="AD6" s="2"/>
      <c r="AE6" s="2"/>
    </row>
    <row r="7" spans="1:31" ht="15">
      <c r="A7" s="788" t="s">
        <v>347</v>
      </c>
      <c r="B7" s="5"/>
      <c r="C7" s="5"/>
      <c r="D7" s="5"/>
      <c r="E7" s="5"/>
      <c r="F7" s="778"/>
      <c r="G7" s="778"/>
      <c r="H7" s="778"/>
      <c r="I7" s="778"/>
      <c r="J7" s="778"/>
      <c r="K7" s="778"/>
      <c r="L7" s="778"/>
      <c r="M7" s="778"/>
      <c r="N7" s="778"/>
      <c r="O7" s="778"/>
      <c r="P7" s="778"/>
      <c r="Q7" s="778"/>
      <c r="R7" s="5"/>
      <c r="S7" s="5"/>
      <c r="T7" s="5"/>
      <c r="U7" s="5"/>
      <c r="V7" s="5"/>
      <c r="W7" s="5"/>
      <c r="X7" s="5"/>
      <c r="Y7" s="5"/>
      <c r="Z7" s="5"/>
      <c r="AA7" s="5"/>
      <c r="AB7" s="5"/>
      <c r="AC7" s="2"/>
      <c r="AD7" s="2"/>
      <c r="AE7" s="2"/>
    </row>
    <row r="8" spans="2:31" ht="9.75" customHeight="1">
      <c r="B8" s="2"/>
      <c r="C8" s="2"/>
      <c r="D8" s="2"/>
      <c r="F8" s="491"/>
      <c r="J8" s="491"/>
      <c r="N8" s="491"/>
      <c r="R8" s="491"/>
      <c r="V8" s="491"/>
      <c r="W8" s="491"/>
      <c r="X8" s="491"/>
      <c r="AA8" s="491"/>
      <c r="AC8" s="2"/>
      <c r="AD8" s="2"/>
      <c r="AE8" s="2"/>
    </row>
    <row r="9" spans="1:54" ht="12.75">
      <c r="A9" s="6" t="s">
        <v>1</v>
      </c>
      <c r="B9" s="7"/>
      <c r="C9" s="1437" t="s">
        <v>497</v>
      </c>
      <c r="D9" s="1438"/>
      <c r="E9" s="259"/>
      <c r="F9" s="870"/>
      <c r="G9" s="477"/>
      <c r="H9" s="477"/>
      <c r="I9" s="871"/>
      <c r="J9" s="870"/>
      <c r="K9" s="477"/>
      <c r="L9" s="477"/>
      <c r="M9" s="871"/>
      <c r="N9" s="870"/>
      <c r="O9" s="477"/>
      <c r="P9" s="477"/>
      <c r="Q9" s="871"/>
      <c r="R9" s="870"/>
      <c r="S9" s="477"/>
      <c r="T9" s="477"/>
      <c r="U9" s="871"/>
      <c r="W9" s="477"/>
      <c r="Y9" s="871"/>
      <c r="Z9" s="477"/>
      <c r="AB9" s="477"/>
      <c r="AC9" s="871"/>
      <c r="AD9" s="477"/>
      <c r="AE9" s="477"/>
      <c r="AF9" s="477"/>
      <c r="AG9" s="477"/>
      <c r="AH9" s="872"/>
      <c r="AI9" s="871"/>
      <c r="AJ9" s="871"/>
      <c r="AK9" s="871"/>
      <c r="AL9" s="873"/>
      <c r="AM9" s="725" t="s">
        <v>406</v>
      </c>
      <c r="AN9" s="711"/>
      <c r="AO9" s="711" t="s">
        <v>480</v>
      </c>
      <c r="AP9" s="712"/>
      <c r="AQ9" s="15"/>
      <c r="AR9" s="88"/>
      <c r="AS9" s="88"/>
      <c r="AT9" s="88"/>
      <c r="AU9" s="88"/>
      <c r="AV9" s="88"/>
      <c r="AW9" s="872"/>
      <c r="AX9" s="872"/>
      <c r="AY9" s="88"/>
      <c r="AZ9" s="88"/>
      <c r="BA9" s="88"/>
      <c r="BB9" s="760"/>
    </row>
    <row r="10" spans="1:54" ht="13.5">
      <c r="A10" s="6" t="s">
        <v>2</v>
      </c>
      <c r="B10" s="7"/>
      <c r="C10" s="1439" t="s">
        <v>41</v>
      </c>
      <c r="D10" s="1440"/>
      <c r="E10" s="603"/>
      <c r="F10" s="21" t="s">
        <v>431</v>
      </c>
      <c r="G10" s="21" t="s">
        <v>430</v>
      </c>
      <c r="H10" s="21" t="s">
        <v>429</v>
      </c>
      <c r="I10" s="14" t="s">
        <v>427</v>
      </c>
      <c r="J10" s="20" t="s">
        <v>362</v>
      </c>
      <c r="K10" s="21" t="s">
        <v>363</v>
      </c>
      <c r="L10" s="21" t="s">
        <v>364</v>
      </c>
      <c r="M10" s="14" t="s">
        <v>365</v>
      </c>
      <c r="N10" s="20" t="s">
        <v>277</v>
      </c>
      <c r="O10" s="21" t="s">
        <v>278</v>
      </c>
      <c r="P10" s="21" t="s">
        <v>279</v>
      </c>
      <c r="Q10" s="14" t="s">
        <v>276</v>
      </c>
      <c r="R10" s="20" t="s">
        <v>222</v>
      </c>
      <c r="S10" s="21" t="s">
        <v>223</v>
      </c>
      <c r="T10" s="21" t="s">
        <v>224</v>
      </c>
      <c r="U10" s="14" t="s">
        <v>225</v>
      </c>
      <c r="V10" s="21" t="s">
        <v>141</v>
      </c>
      <c r="W10" s="21" t="s">
        <v>140</v>
      </c>
      <c r="X10" s="21" t="s">
        <v>139</v>
      </c>
      <c r="Y10" s="14" t="s">
        <v>138</v>
      </c>
      <c r="Z10" s="21" t="s">
        <v>91</v>
      </c>
      <c r="AA10" s="21" t="s">
        <v>92</v>
      </c>
      <c r="AB10" s="21" t="s">
        <v>93</v>
      </c>
      <c r="AC10" s="14" t="s">
        <v>32</v>
      </c>
      <c r="AD10" s="21" t="s">
        <v>33</v>
      </c>
      <c r="AE10" s="21" t="s">
        <v>34</v>
      </c>
      <c r="AF10" s="21" t="s">
        <v>35</v>
      </c>
      <c r="AG10" s="21" t="s">
        <v>36</v>
      </c>
      <c r="AH10" s="23" t="s">
        <v>37</v>
      </c>
      <c r="AI10" s="14" t="s">
        <v>38</v>
      </c>
      <c r="AJ10" s="14" t="s">
        <v>39</v>
      </c>
      <c r="AK10" s="14" t="s">
        <v>40</v>
      </c>
      <c r="AL10" s="259"/>
      <c r="AM10" s="21" t="s">
        <v>430</v>
      </c>
      <c r="AN10" s="21" t="s">
        <v>363</v>
      </c>
      <c r="AO10" s="1435" t="s">
        <v>41</v>
      </c>
      <c r="AP10" s="1436"/>
      <c r="AQ10" s="16"/>
      <c r="AR10" s="20" t="s">
        <v>367</v>
      </c>
      <c r="AS10" s="20" t="s">
        <v>285</v>
      </c>
      <c r="AT10" s="20" t="s">
        <v>143</v>
      </c>
      <c r="AU10" s="20" t="s">
        <v>142</v>
      </c>
      <c r="AV10" s="20" t="s">
        <v>45</v>
      </c>
      <c r="AW10" s="23" t="s">
        <v>42</v>
      </c>
      <c r="AX10" s="23" t="s">
        <v>43</v>
      </c>
      <c r="AY10" s="23" t="s">
        <v>165</v>
      </c>
      <c r="AZ10" s="23" t="s">
        <v>166</v>
      </c>
      <c r="BA10" s="23" t="s">
        <v>167</v>
      </c>
      <c r="BB10" s="760"/>
    </row>
    <row r="11" spans="1:54" ht="12.75">
      <c r="A11" s="6"/>
      <c r="B11" s="7"/>
      <c r="C11" s="694"/>
      <c r="D11" s="695"/>
      <c r="E11" s="603"/>
      <c r="F11" s="697" t="s">
        <v>307</v>
      </c>
      <c r="G11" s="697" t="s">
        <v>307</v>
      </c>
      <c r="H11" s="697" t="s">
        <v>307</v>
      </c>
      <c r="I11" s="698" t="s">
        <v>307</v>
      </c>
      <c r="J11" s="696" t="s">
        <v>307</v>
      </c>
      <c r="K11" s="697" t="s">
        <v>307</v>
      </c>
      <c r="L11" s="697" t="s">
        <v>307</v>
      </c>
      <c r="M11" s="698" t="s">
        <v>307</v>
      </c>
      <c r="N11" s="696" t="s">
        <v>307</v>
      </c>
      <c r="O11" s="697" t="s">
        <v>307</v>
      </c>
      <c r="P11" s="697" t="s">
        <v>307</v>
      </c>
      <c r="Q11" s="698" t="s">
        <v>307</v>
      </c>
      <c r="R11" s="696" t="s">
        <v>307</v>
      </c>
      <c r="S11" s="697" t="s">
        <v>307</v>
      </c>
      <c r="T11" s="697" t="s">
        <v>307</v>
      </c>
      <c r="U11" s="698" t="s">
        <v>307</v>
      </c>
      <c r="V11" s="696" t="s">
        <v>308</v>
      </c>
      <c r="W11" s="697" t="s">
        <v>308</v>
      </c>
      <c r="X11" s="697" t="s">
        <v>308</v>
      </c>
      <c r="Y11" s="698" t="s">
        <v>308</v>
      </c>
      <c r="Z11" s="15"/>
      <c r="AA11" s="15"/>
      <c r="AB11" s="15"/>
      <c r="AC11" s="233"/>
      <c r="AD11" s="15"/>
      <c r="AE11" s="15"/>
      <c r="AF11" s="15"/>
      <c r="AG11" s="15"/>
      <c r="AH11" s="259"/>
      <c r="AI11" s="233"/>
      <c r="AJ11" s="233"/>
      <c r="AK11" s="233"/>
      <c r="AL11" s="259"/>
      <c r="AM11" s="696" t="s">
        <v>307</v>
      </c>
      <c r="AN11" s="697" t="s">
        <v>307</v>
      </c>
      <c r="AO11" s="874"/>
      <c r="AP11" s="875"/>
      <c r="AQ11" s="16"/>
      <c r="AR11" s="696" t="s">
        <v>307</v>
      </c>
      <c r="AS11" s="696" t="s">
        <v>307</v>
      </c>
      <c r="AT11" s="696" t="s">
        <v>307</v>
      </c>
      <c r="AU11" s="696" t="s">
        <v>308</v>
      </c>
      <c r="AV11" s="696" t="s">
        <v>308</v>
      </c>
      <c r="AW11" s="699" t="s">
        <v>308</v>
      </c>
      <c r="AX11" s="699" t="s">
        <v>308</v>
      </c>
      <c r="AY11" s="259"/>
      <c r="AZ11" s="259"/>
      <c r="BA11" s="259"/>
      <c r="BB11" s="760"/>
    </row>
    <row r="12" spans="1:54" ht="12.75" customHeight="1">
      <c r="A12" s="142" t="s">
        <v>3</v>
      </c>
      <c r="B12" s="8"/>
      <c r="C12" s="760"/>
      <c r="D12" s="876"/>
      <c r="E12" s="873"/>
      <c r="F12" s="760"/>
      <c r="I12" s="876"/>
      <c r="J12" s="760"/>
      <c r="M12" s="876"/>
      <c r="N12" s="760"/>
      <c r="Q12" s="876"/>
      <c r="R12" s="760"/>
      <c r="U12" s="876"/>
      <c r="Y12" s="876"/>
      <c r="AC12" s="876"/>
      <c r="AD12" s="2"/>
      <c r="AE12" s="2"/>
      <c r="AF12" s="2"/>
      <c r="AG12" s="876"/>
      <c r="AH12" s="873"/>
      <c r="AI12" s="876"/>
      <c r="AJ12" s="876"/>
      <c r="AK12" s="876"/>
      <c r="AL12" s="873"/>
      <c r="AM12" s="2"/>
      <c r="AN12" s="2"/>
      <c r="AO12" s="477"/>
      <c r="AP12" s="871"/>
      <c r="AR12" s="873"/>
      <c r="AS12" s="873"/>
      <c r="AT12" s="873"/>
      <c r="AU12" s="873"/>
      <c r="AV12" s="873"/>
      <c r="AW12" s="873"/>
      <c r="AX12" s="873"/>
      <c r="AY12" s="354"/>
      <c r="AZ12" s="354"/>
      <c r="BA12" s="872"/>
      <c r="BB12" s="760"/>
    </row>
    <row r="13" spans="1:54" ht="12.75" customHeight="1">
      <c r="A13" s="7"/>
      <c r="B13" s="7" t="s">
        <v>4</v>
      </c>
      <c r="C13" s="56">
        <v>956</v>
      </c>
      <c r="D13" s="41">
        <v>0.004156467524336639</v>
      </c>
      <c r="E13" s="591"/>
      <c r="F13" s="55"/>
      <c r="G13" s="55">
        <v>230959</v>
      </c>
      <c r="H13" s="55">
        <v>183306</v>
      </c>
      <c r="I13" s="57">
        <v>187231</v>
      </c>
      <c r="J13" s="55">
        <v>217971</v>
      </c>
      <c r="K13" s="55">
        <v>230003</v>
      </c>
      <c r="L13" s="55">
        <v>186599</v>
      </c>
      <c r="M13" s="57">
        <v>162549</v>
      </c>
      <c r="N13" s="55">
        <v>177692</v>
      </c>
      <c r="O13" s="55">
        <v>147889</v>
      </c>
      <c r="P13" s="55">
        <v>119500</v>
      </c>
      <c r="Q13" s="57">
        <v>159783</v>
      </c>
      <c r="R13" s="55">
        <v>247595</v>
      </c>
      <c r="S13" s="55">
        <v>254834</v>
      </c>
      <c r="T13" s="55">
        <v>149285</v>
      </c>
      <c r="U13" s="57">
        <v>151917</v>
      </c>
      <c r="V13" s="55">
        <v>143133</v>
      </c>
      <c r="W13" s="55">
        <v>173197</v>
      </c>
      <c r="X13" s="55">
        <v>123744</v>
      </c>
      <c r="Y13" s="57">
        <v>137463</v>
      </c>
      <c r="Z13" s="55">
        <v>106996</v>
      </c>
      <c r="AA13" s="55">
        <v>87188</v>
      </c>
      <c r="AB13" s="55">
        <v>110829</v>
      </c>
      <c r="AC13" s="57">
        <v>172708</v>
      </c>
      <c r="AD13" s="55">
        <v>143446</v>
      </c>
      <c r="AE13" s="55">
        <v>183354</v>
      </c>
      <c r="AF13" s="55">
        <v>158869</v>
      </c>
      <c r="AG13" s="55">
        <v>245870</v>
      </c>
      <c r="AH13" s="59">
        <v>216443</v>
      </c>
      <c r="AI13" s="57">
        <v>178313</v>
      </c>
      <c r="AJ13" s="57">
        <v>156031</v>
      </c>
      <c r="AK13" s="57">
        <v>206127</v>
      </c>
      <c r="AL13" s="199"/>
      <c r="AM13" s="854">
        <v>601496</v>
      </c>
      <c r="AN13" s="854">
        <v>579151</v>
      </c>
      <c r="AO13" s="55">
        <v>22345</v>
      </c>
      <c r="AP13" s="46">
        <v>0.03858233863016726</v>
      </c>
      <c r="AQ13" s="53"/>
      <c r="AR13" s="59">
        <v>797122</v>
      </c>
      <c r="AS13" s="59">
        <v>604864</v>
      </c>
      <c r="AT13" s="59">
        <v>803631</v>
      </c>
      <c r="AU13" s="59">
        <v>577537</v>
      </c>
      <c r="AV13" s="59">
        <v>477721</v>
      </c>
      <c r="AW13" s="59">
        <v>731539</v>
      </c>
      <c r="AX13" s="59">
        <v>756914</v>
      </c>
      <c r="AY13" s="59">
        <v>583415</v>
      </c>
      <c r="AZ13" s="59">
        <v>432778</v>
      </c>
      <c r="BA13" s="59">
        <v>402157</v>
      </c>
      <c r="BB13" s="760"/>
    </row>
    <row r="14" spans="1:54" ht="12.75" customHeight="1">
      <c r="A14" s="7"/>
      <c r="B14" s="7" t="s">
        <v>5</v>
      </c>
      <c r="C14" s="56">
        <v>-10343</v>
      </c>
      <c r="D14" s="41">
        <v>-0.04768952702391162</v>
      </c>
      <c r="E14" s="591"/>
      <c r="F14" s="55"/>
      <c r="G14" s="55">
        <v>206539</v>
      </c>
      <c r="H14" s="55">
        <v>184262</v>
      </c>
      <c r="I14" s="57">
        <v>178118</v>
      </c>
      <c r="J14" s="55">
        <v>211984</v>
      </c>
      <c r="K14" s="55">
        <v>216882</v>
      </c>
      <c r="L14" s="55">
        <v>204910</v>
      </c>
      <c r="M14" s="57">
        <v>187048</v>
      </c>
      <c r="N14" s="55">
        <v>207731</v>
      </c>
      <c r="O14" s="55">
        <v>142822</v>
      </c>
      <c r="P14" s="55">
        <v>126396</v>
      </c>
      <c r="Q14" s="57">
        <v>144034</v>
      </c>
      <c r="R14" s="55">
        <v>189279</v>
      </c>
      <c r="S14" s="55">
        <v>192918</v>
      </c>
      <c r="T14" s="55">
        <v>134676</v>
      </c>
      <c r="U14" s="57">
        <v>144286</v>
      </c>
      <c r="V14" s="55">
        <v>137658</v>
      </c>
      <c r="W14" s="55">
        <v>150887</v>
      </c>
      <c r="X14" s="55">
        <v>115883</v>
      </c>
      <c r="Y14" s="57">
        <v>121468</v>
      </c>
      <c r="Z14" s="55">
        <v>100311</v>
      </c>
      <c r="AA14" s="55">
        <v>159625</v>
      </c>
      <c r="AB14" s="55">
        <v>115805</v>
      </c>
      <c r="AC14" s="57">
        <v>149179</v>
      </c>
      <c r="AD14" s="55">
        <v>194004</v>
      </c>
      <c r="AE14" s="55">
        <v>159043</v>
      </c>
      <c r="AF14" s="55">
        <v>139741</v>
      </c>
      <c r="AG14" s="55">
        <v>187220</v>
      </c>
      <c r="AH14" s="59">
        <v>176307</v>
      </c>
      <c r="AI14" s="57">
        <v>144677</v>
      </c>
      <c r="AJ14" s="57">
        <v>130781</v>
      </c>
      <c r="AK14" s="57">
        <v>166952</v>
      </c>
      <c r="AL14" s="199"/>
      <c r="AM14" s="854">
        <v>568919</v>
      </c>
      <c r="AN14" s="854">
        <v>608840</v>
      </c>
      <c r="AO14" s="55">
        <v>-39921</v>
      </c>
      <c r="AP14" s="46">
        <v>-0.0655689507916694</v>
      </c>
      <c r="AQ14" s="53"/>
      <c r="AR14" s="59">
        <v>820824</v>
      </c>
      <c r="AS14" s="59">
        <v>620983</v>
      </c>
      <c r="AT14" s="59">
        <v>661159</v>
      </c>
      <c r="AU14" s="59">
        <v>525896</v>
      </c>
      <c r="AV14" s="59">
        <v>524920</v>
      </c>
      <c r="AW14" s="59">
        <v>680008</v>
      </c>
      <c r="AX14" s="59">
        <v>618717</v>
      </c>
      <c r="AY14" s="59">
        <v>464385</v>
      </c>
      <c r="AZ14" s="59">
        <v>360022</v>
      </c>
      <c r="BA14" s="59">
        <v>339600</v>
      </c>
      <c r="BB14" s="760"/>
    </row>
    <row r="15" spans="1:54" ht="12.75" customHeight="1">
      <c r="A15" s="7"/>
      <c r="B15" s="7" t="s">
        <v>6</v>
      </c>
      <c r="C15" s="56">
        <v>3229</v>
      </c>
      <c r="D15" s="41">
        <v>1.1302065103255163</v>
      </c>
      <c r="E15" s="591"/>
      <c r="F15" s="55"/>
      <c r="G15" s="55">
        <v>6086</v>
      </c>
      <c r="H15" s="55">
        <v>-876</v>
      </c>
      <c r="I15" s="57">
        <v>1230</v>
      </c>
      <c r="J15" s="55">
        <v>-437</v>
      </c>
      <c r="K15" s="55">
        <v>2857</v>
      </c>
      <c r="L15" s="55">
        <v>-3470</v>
      </c>
      <c r="M15" s="57">
        <v>-3877</v>
      </c>
      <c r="N15" s="55">
        <v>1755</v>
      </c>
      <c r="O15" s="55">
        <v>2536</v>
      </c>
      <c r="P15" s="55">
        <v>-1618</v>
      </c>
      <c r="Q15" s="57">
        <v>2554</v>
      </c>
      <c r="R15" s="55">
        <v>16993</v>
      </c>
      <c r="S15" s="55">
        <v>18919</v>
      </c>
      <c r="T15" s="55">
        <v>4358</v>
      </c>
      <c r="U15" s="57">
        <v>2459</v>
      </c>
      <c r="V15" s="55">
        <v>-2051</v>
      </c>
      <c r="W15" s="55">
        <v>7197</v>
      </c>
      <c r="X15" s="55">
        <v>1115</v>
      </c>
      <c r="Y15" s="57">
        <v>6883</v>
      </c>
      <c r="Z15" s="55">
        <v>3019</v>
      </c>
      <c r="AA15" s="55">
        <v>-10059</v>
      </c>
      <c r="AB15" s="55">
        <v>422</v>
      </c>
      <c r="AC15" s="57">
        <v>7070</v>
      </c>
      <c r="AD15" s="55">
        <v>-15404</v>
      </c>
      <c r="AE15" s="55">
        <v>9263</v>
      </c>
      <c r="AF15" s="55">
        <v>6717</v>
      </c>
      <c r="AG15" s="55">
        <v>19621</v>
      </c>
      <c r="AH15" s="59">
        <v>14120</v>
      </c>
      <c r="AI15" s="57">
        <v>9944</v>
      </c>
      <c r="AJ15" s="57">
        <v>7444</v>
      </c>
      <c r="AK15" s="57">
        <v>13233</v>
      </c>
      <c r="AL15" s="199"/>
      <c r="AM15" s="854">
        <v>6440</v>
      </c>
      <c r="AN15" s="854">
        <v>-4490</v>
      </c>
      <c r="AO15" s="55">
        <v>10930</v>
      </c>
      <c r="AP15" s="46">
        <v>2.4342984409799553</v>
      </c>
      <c r="AQ15" s="53"/>
      <c r="AR15" s="59">
        <v>-4927</v>
      </c>
      <c r="AS15" s="59">
        <v>5227</v>
      </c>
      <c r="AT15" s="59">
        <v>42729</v>
      </c>
      <c r="AU15" s="59">
        <v>13144</v>
      </c>
      <c r="AV15" s="59">
        <v>452</v>
      </c>
      <c r="AW15" s="59">
        <v>20197</v>
      </c>
      <c r="AX15" s="59">
        <v>44741</v>
      </c>
      <c r="AY15" s="59">
        <v>37880</v>
      </c>
      <c r="AZ15" s="59">
        <v>24177</v>
      </c>
      <c r="BA15" s="59">
        <v>22128</v>
      </c>
      <c r="BB15" s="760"/>
    </row>
    <row r="16" spans="1:54" ht="12.75" customHeight="1">
      <c r="A16" s="7"/>
      <c r="B16" s="7" t="s">
        <v>7</v>
      </c>
      <c r="C16" s="56">
        <v>8070</v>
      </c>
      <c r="D16" s="41">
        <v>0.7862431800467654</v>
      </c>
      <c r="E16" s="591"/>
      <c r="F16" s="55"/>
      <c r="G16" s="55">
        <v>18334</v>
      </c>
      <c r="H16" s="55">
        <v>-80</v>
      </c>
      <c r="I16" s="57">
        <v>7883</v>
      </c>
      <c r="J16" s="55">
        <v>6424</v>
      </c>
      <c r="K16" s="55">
        <v>10264</v>
      </c>
      <c r="L16" s="55">
        <v>-14841</v>
      </c>
      <c r="M16" s="57">
        <v>-20622</v>
      </c>
      <c r="N16" s="55">
        <v>-31794</v>
      </c>
      <c r="O16" s="55">
        <v>2531</v>
      </c>
      <c r="P16" s="55">
        <v>-5278</v>
      </c>
      <c r="Q16" s="57">
        <v>13195</v>
      </c>
      <c r="R16" s="55">
        <v>41323</v>
      </c>
      <c r="S16" s="55">
        <v>42997</v>
      </c>
      <c r="T16" s="55">
        <v>10251</v>
      </c>
      <c r="U16" s="57">
        <v>5172</v>
      </c>
      <c r="V16" s="55">
        <v>7526</v>
      </c>
      <c r="W16" s="55">
        <v>15113</v>
      </c>
      <c r="X16" s="55">
        <v>6746</v>
      </c>
      <c r="Y16" s="57">
        <v>9112</v>
      </c>
      <c r="Z16" s="55">
        <v>3666</v>
      </c>
      <c r="AA16" s="55">
        <v>-62378</v>
      </c>
      <c r="AB16" s="55">
        <v>-5398</v>
      </c>
      <c r="AC16" s="57">
        <v>16459</v>
      </c>
      <c r="AD16" s="55">
        <v>-35154</v>
      </c>
      <c r="AE16" s="55">
        <v>15048</v>
      </c>
      <c r="AF16" s="55">
        <v>12411</v>
      </c>
      <c r="AG16" s="55">
        <v>39029</v>
      </c>
      <c r="AH16" s="59">
        <v>26016</v>
      </c>
      <c r="AI16" s="57">
        <v>23692</v>
      </c>
      <c r="AJ16" s="57">
        <v>17806</v>
      </c>
      <c r="AK16" s="57">
        <v>25942</v>
      </c>
      <c r="AL16" s="199"/>
      <c r="AM16" s="854">
        <v>26137</v>
      </c>
      <c r="AN16" s="854">
        <v>-25199</v>
      </c>
      <c r="AO16" s="55">
        <v>51336</v>
      </c>
      <c r="AP16" s="46">
        <v>2.0372236993531487</v>
      </c>
      <c r="AQ16" s="53"/>
      <c r="AR16" s="59">
        <v>-18775</v>
      </c>
      <c r="AS16" s="59">
        <v>-21346</v>
      </c>
      <c r="AT16" s="59">
        <v>99743</v>
      </c>
      <c r="AU16" s="59">
        <v>38497</v>
      </c>
      <c r="AV16" s="59">
        <v>-47651</v>
      </c>
      <c r="AW16" s="59">
        <v>31334</v>
      </c>
      <c r="AX16" s="59">
        <v>93456</v>
      </c>
      <c r="AY16" s="59">
        <v>81150</v>
      </c>
      <c r="AZ16" s="59">
        <v>48579</v>
      </c>
      <c r="BA16" s="59">
        <v>40429</v>
      </c>
      <c r="BB16" s="760"/>
    </row>
    <row r="17" spans="1:54" ht="12.75" customHeight="1">
      <c r="A17" s="7"/>
      <c r="B17" s="7" t="s">
        <v>484</v>
      </c>
      <c r="C17" s="56">
        <v>6441</v>
      </c>
      <c r="D17" s="41">
        <v>0.5920036764705883</v>
      </c>
      <c r="E17" s="591"/>
      <c r="F17" s="55"/>
      <c r="G17" s="55">
        <v>17321</v>
      </c>
      <c r="H17" s="55">
        <v>-383</v>
      </c>
      <c r="I17" s="57">
        <v>8741</v>
      </c>
      <c r="J17" s="55">
        <v>6830</v>
      </c>
      <c r="K17" s="55">
        <v>10880</v>
      </c>
      <c r="L17" s="55">
        <v>-14562</v>
      </c>
      <c r="M17" s="57">
        <v>-19967</v>
      </c>
      <c r="N17" s="55">
        <v>-31250</v>
      </c>
      <c r="O17" s="55">
        <v>3026</v>
      </c>
      <c r="P17" s="55">
        <v>-5278</v>
      </c>
      <c r="Q17" s="57">
        <v>13195</v>
      </c>
      <c r="R17" s="55">
        <v>41323</v>
      </c>
      <c r="S17" s="55">
        <v>42997</v>
      </c>
      <c r="T17" s="55">
        <v>10251</v>
      </c>
      <c r="U17" s="57">
        <v>5172</v>
      </c>
      <c r="V17" s="55">
        <v>7526</v>
      </c>
      <c r="W17" s="55">
        <v>15113</v>
      </c>
      <c r="X17" s="55"/>
      <c r="Y17" s="57"/>
      <c r="Z17" s="55"/>
      <c r="AA17" s="55"/>
      <c r="AB17" s="55"/>
      <c r="AC17" s="57"/>
      <c r="AD17" s="55"/>
      <c r="AE17" s="55"/>
      <c r="AF17" s="55"/>
      <c r="AG17" s="55"/>
      <c r="AH17" s="59"/>
      <c r="AI17" s="57"/>
      <c r="AJ17" s="57"/>
      <c r="AK17" s="57"/>
      <c r="AL17" s="199"/>
      <c r="AM17" s="854">
        <v>25679</v>
      </c>
      <c r="AN17" s="854">
        <v>-23649</v>
      </c>
      <c r="AO17" s="55">
        <v>49328</v>
      </c>
      <c r="AP17" s="46">
        <v>2.0858387246818046</v>
      </c>
      <c r="AQ17" s="53"/>
      <c r="AR17" s="59">
        <v>-16819</v>
      </c>
      <c r="AS17" s="59">
        <v>-20307</v>
      </c>
      <c r="AT17" s="59">
        <v>99743</v>
      </c>
      <c r="AU17" s="59">
        <v>38497</v>
      </c>
      <c r="AV17" s="59">
        <v>-47651</v>
      </c>
      <c r="AW17" s="59">
        <v>31334</v>
      </c>
      <c r="AX17" s="59">
        <v>93456</v>
      </c>
      <c r="AY17" s="59"/>
      <c r="AZ17" s="59"/>
      <c r="BA17" s="59"/>
      <c r="BB17" s="760"/>
    </row>
    <row r="18" spans="1:54" ht="12.75" customHeight="1">
      <c r="A18" s="7"/>
      <c r="B18" s="7" t="s">
        <v>319</v>
      </c>
      <c r="C18" s="56">
        <v>6518</v>
      </c>
      <c r="D18" s="41">
        <v>0.8269474752600863</v>
      </c>
      <c r="E18" s="591"/>
      <c r="F18" s="55"/>
      <c r="G18" s="55">
        <v>14400</v>
      </c>
      <c r="H18" s="55">
        <v>-3304</v>
      </c>
      <c r="I18" s="57">
        <v>5781</v>
      </c>
      <c r="J18" s="55">
        <v>3943</v>
      </c>
      <c r="K18" s="55">
        <v>7882</v>
      </c>
      <c r="L18" s="55">
        <v>-17560</v>
      </c>
      <c r="M18" s="57">
        <v>-22804</v>
      </c>
      <c r="N18" s="55">
        <v>-32357</v>
      </c>
      <c r="O18" s="55">
        <v>1208</v>
      </c>
      <c r="P18" s="55">
        <v>-7078</v>
      </c>
      <c r="Q18" s="57">
        <v>13105</v>
      </c>
      <c r="R18" s="55">
        <v>41323</v>
      </c>
      <c r="S18" s="55">
        <v>42997</v>
      </c>
      <c r="T18" s="55">
        <v>10251</v>
      </c>
      <c r="U18" s="57">
        <v>5172</v>
      </c>
      <c r="V18" s="55">
        <v>7526</v>
      </c>
      <c r="W18" s="55">
        <v>15113</v>
      </c>
      <c r="X18" s="55">
        <v>6746</v>
      </c>
      <c r="Y18" s="57"/>
      <c r="Z18" s="55"/>
      <c r="AA18" s="55"/>
      <c r="AB18" s="55"/>
      <c r="AC18" s="57"/>
      <c r="AD18" s="55"/>
      <c r="AE18" s="55"/>
      <c r="AF18" s="55"/>
      <c r="AG18" s="55"/>
      <c r="AH18" s="59"/>
      <c r="AI18" s="57"/>
      <c r="AJ18" s="57"/>
      <c r="AK18" s="57"/>
      <c r="AL18" s="199"/>
      <c r="AM18" s="854">
        <v>16877</v>
      </c>
      <c r="AN18" s="854">
        <v>-32482</v>
      </c>
      <c r="AO18" s="55">
        <v>49359</v>
      </c>
      <c r="AP18" s="46">
        <v>1.519580075118527</v>
      </c>
      <c r="AQ18" s="53"/>
      <c r="AR18" s="59">
        <v>-28539</v>
      </c>
      <c r="AS18" s="59">
        <v>-25122</v>
      </c>
      <c r="AT18" s="59">
        <v>99743</v>
      </c>
      <c r="AU18" s="59">
        <v>38497</v>
      </c>
      <c r="AV18" s="59">
        <v>-47651</v>
      </c>
      <c r="AW18" s="59">
        <v>31334</v>
      </c>
      <c r="AX18" s="59">
        <v>93456</v>
      </c>
      <c r="AY18" s="59"/>
      <c r="AZ18" s="59"/>
      <c r="BA18" s="59"/>
      <c r="BB18" s="760"/>
    </row>
    <row r="19" spans="1:54" ht="9.75" customHeight="1">
      <c r="A19" s="7"/>
      <c r="B19" s="7"/>
      <c r="C19" s="56"/>
      <c r="D19" s="46"/>
      <c r="E19" s="591"/>
      <c r="F19" s="47"/>
      <c r="G19" s="628"/>
      <c r="H19" s="55"/>
      <c r="I19" s="57"/>
      <c r="J19" s="47"/>
      <c r="K19" s="628"/>
      <c r="L19" s="55"/>
      <c r="M19" s="57"/>
      <c r="N19" s="47"/>
      <c r="O19" s="628"/>
      <c r="P19" s="55"/>
      <c r="Q19" s="57"/>
      <c r="R19" s="47"/>
      <c r="S19" s="628"/>
      <c r="T19" s="55"/>
      <c r="U19" s="57"/>
      <c r="V19" s="47"/>
      <c r="W19" s="47"/>
      <c r="X19" s="55"/>
      <c r="Y19" s="57"/>
      <c r="Z19" s="47"/>
      <c r="AA19" s="47"/>
      <c r="AB19" s="55"/>
      <c r="AC19" s="57"/>
      <c r="AD19" s="55"/>
      <c r="AE19" s="55"/>
      <c r="AF19" s="55"/>
      <c r="AG19" s="55"/>
      <c r="AH19" s="59"/>
      <c r="AI19" s="57"/>
      <c r="AJ19" s="57"/>
      <c r="AK19" s="57"/>
      <c r="AL19" s="199"/>
      <c r="AM19" s="1"/>
      <c r="AN19" s="1"/>
      <c r="AO19" s="55"/>
      <c r="AP19" s="46"/>
      <c r="AQ19" s="53"/>
      <c r="AR19" s="59"/>
      <c r="AS19" s="59"/>
      <c r="AT19" s="59"/>
      <c r="AU19" s="59"/>
      <c r="AV19" s="59"/>
      <c r="AW19" s="59"/>
      <c r="AX19" s="59"/>
      <c r="AY19" s="403"/>
      <c r="AZ19" s="403"/>
      <c r="BA19" s="403"/>
      <c r="BB19" s="760"/>
    </row>
    <row r="20" spans="1:54" ht="12.75" customHeight="1">
      <c r="A20" s="142" t="s">
        <v>8</v>
      </c>
      <c r="B20" s="7"/>
      <c r="C20" s="56"/>
      <c r="D20" s="46"/>
      <c r="E20" s="591"/>
      <c r="F20" s="47"/>
      <c r="G20" s="47"/>
      <c r="H20" s="55"/>
      <c r="I20" s="57"/>
      <c r="J20" s="47"/>
      <c r="K20" s="47"/>
      <c r="L20" s="55"/>
      <c r="M20" s="57"/>
      <c r="N20" s="47"/>
      <c r="O20" s="47"/>
      <c r="P20" s="55"/>
      <c r="Q20" s="57"/>
      <c r="R20" s="47"/>
      <c r="S20" s="47"/>
      <c r="T20" s="55"/>
      <c r="U20" s="57"/>
      <c r="V20" s="47"/>
      <c r="W20" s="47"/>
      <c r="X20" s="55"/>
      <c r="Y20" s="57"/>
      <c r="Z20" s="47"/>
      <c r="AA20" s="47"/>
      <c r="AB20" s="55"/>
      <c r="AC20" s="57"/>
      <c r="AD20" s="55"/>
      <c r="AE20" s="55"/>
      <c r="AF20" s="55"/>
      <c r="AG20" s="55"/>
      <c r="AH20" s="59"/>
      <c r="AI20" s="57"/>
      <c r="AJ20" s="57"/>
      <c r="AK20" s="57"/>
      <c r="AL20" s="199"/>
      <c r="AM20" s="1"/>
      <c r="AN20" s="1"/>
      <c r="AO20" s="55"/>
      <c r="AP20" s="46"/>
      <c r="AQ20" s="53"/>
      <c r="AR20" s="59"/>
      <c r="AS20" s="59"/>
      <c r="AT20" s="59"/>
      <c r="AU20" s="59"/>
      <c r="AV20" s="59"/>
      <c r="AW20" s="59"/>
      <c r="AX20" s="59"/>
      <c r="AY20" s="59"/>
      <c r="AZ20" s="59"/>
      <c r="BA20" s="59"/>
      <c r="BB20" s="760"/>
    </row>
    <row r="21" spans="1:54" ht="12.75" customHeight="1">
      <c r="A21" s="8"/>
      <c r="B21" s="7" t="s">
        <v>9</v>
      </c>
      <c r="C21" s="56">
        <v>-854281</v>
      </c>
      <c r="D21" s="41">
        <v>-0.17163883877705563</v>
      </c>
      <c r="E21" s="591"/>
      <c r="F21" s="55"/>
      <c r="G21" s="55">
        <v>4122920</v>
      </c>
      <c r="H21" s="55">
        <v>4245682</v>
      </c>
      <c r="I21" s="57">
        <v>5327433</v>
      </c>
      <c r="J21" s="55">
        <v>4603502</v>
      </c>
      <c r="K21" s="31">
        <v>4977201</v>
      </c>
      <c r="L21" s="55">
        <v>5102481</v>
      </c>
      <c r="M21" s="57">
        <v>5105838</v>
      </c>
      <c r="N21" s="55">
        <v>5762723</v>
      </c>
      <c r="O21" s="55">
        <v>4439877</v>
      </c>
      <c r="P21" s="55">
        <v>5665166</v>
      </c>
      <c r="Q21" s="57">
        <v>4429105</v>
      </c>
      <c r="R21" s="55">
        <v>5097500</v>
      </c>
      <c r="S21" s="55">
        <v>4555884</v>
      </c>
      <c r="T21" s="55">
        <v>5261916</v>
      </c>
      <c r="U21" s="57">
        <v>3961904</v>
      </c>
      <c r="V21" s="55">
        <v>3123848</v>
      </c>
      <c r="W21" s="55">
        <v>2583857</v>
      </c>
      <c r="X21" s="55">
        <v>3407005</v>
      </c>
      <c r="Y21" s="57">
        <v>2184790</v>
      </c>
      <c r="Z21" s="55">
        <v>2022099</v>
      </c>
      <c r="AA21" s="55">
        <v>1679685</v>
      </c>
      <c r="AB21" s="55">
        <v>1942070</v>
      </c>
      <c r="AC21" s="57">
        <v>2333893</v>
      </c>
      <c r="AD21" s="55">
        <v>2098718</v>
      </c>
      <c r="AE21" s="55">
        <v>1972741</v>
      </c>
      <c r="AF21" s="55">
        <v>2525725</v>
      </c>
      <c r="AG21" s="55">
        <v>2693627</v>
      </c>
      <c r="AH21" s="59">
        <v>2609942</v>
      </c>
      <c r="AI21" s="57">
        <v>1794143</v>
      </c>
      <c r="AJ21" s="57">
        <v>1665413</v>
      </c>
      <c r="AK21" s="57">
        <v>1789397</v>
      </c>
      <c r="AL21" s="199"/>
      <c r="AM21" s="153">
        <v>4122920</v>
      </c>
      <c r="AN21" s="854">
        <v>4977201</v>
      </c>
      <c r="AO21" s="55">
        <v>-854281</v>
      </c>
      <c r="AP21" s="46">
        <v>-0.17163883877705563</v>
      </c>
      <c r="AQ21" s="53"/>
      <c r="AR21" s="59">
        <v>4603502</v>
      </c>
      <c r="AS21" s="59">
        <v>5762723</v>
      </c>
      <c r="AT21" s="59">
        <v>5097500</v>
      </c>
      <c r="AU21" s="59">
        <v>3123848</v>
      </c>
      <c r="AV21" s="59">
        <v>2022099</v>
      </c>
      <c r="AW21" s="59">
        <v>2098718</v>
      </c>
      <c r="AX21" s="59">
        <v>2609942</v>
      </c>
      <c r="AY21" s="59">
        <v>2177973</v>
      </c>
      <c r="AZ21" s="59">
        <v>1638165</v>
      </c>
      <c r="BA21" s="59">
        <v>1508366</v>
      </c>
      <c r="BB21" s="760"/>
    </row>
    <row r="22" spans="1:54" ht="12.75" customHeight="1">
      <c r="A22" s="8"/>
      <c r="B22" s="7" t="s">
        <v>10</v>
      </c>
      <c r="C22" s="56">
        <v>-918691</v>
      </c>
      <c r="D22" s="41">
        <v>-0.23495302555813719</v>
      </c>
      <c r="E22" s="591"/>
      <c r="F22" s="55"/>
      <c r="G22" s="55">
        <v>2991414</v>
      </c>
      <c r="H22" s="55">
        <v>3150694</v>
      </c>
      <c r="I22" s="57">
        <v>4246564</v>
      </c>
      <c r="J22" s="55">
        <v>3538170</v>
      </c>
      <c r="K22" s="31">
        <v>3910105</v>
      </c>
      <c r="L22" s="55">
        <v>4052592</v>
      </c>
      <c r="M22" s="57">
        <v>4030987</v>
      </c>
      <c r="N22" s="55">
        <v>4753144</v>
      </c>
      <c r="O22" s="55">
        <v>3569364</v>
      </c>
      <c r="P22" s="55">
        <v>4801673</v>
      </c>
      <c r="Q22" s="57">
        <v>3580864</v>
      </c>
      <c r="R22" s="55">
        <v>4340608</v>
      </c>
      <c r="S22" s="55">
        <v>3831158</v>
      </c>
      <c r="T22" s="55">
        <v>4581386</v>
      </c>
      <c r="U22" s="57">
        <v>3290908</v>
      </c>
      <c r="V22" s="55">
        <v>2722103</v>
      </c>
      <c r="W22" s="55">
        <v>2183190</v>
      </c>
      <c r="X22" s="55">
        <v>3018780</v>
      </c>
      <c r="Y22" s="57">
        <v>1799394</v>
      </c>
      <c r="Z22" s="55">
        <v>1649395</v>
      </c>
      <c r="AA22" s="55">
        <v>1321724</v>
      </c>
      <c r="AB22" s="55">
        <v>1527762</v>
      </c>
      <c r="AC22" s="57">
        <v>1893991</v>
      </c>
      <c r="AD22" s="55">
        <v>1741274</v>
      </c>
      <c r="AE22" s="55">
        <v>1582513</v>
      </c>
      <c r="AF22" s="55">
        <v>2143412</v>
      </c>
      <c r="AG22" s="55">
        <v>2304386</v>
      </c>
      <c r="AH22" s="59">
        <v>2237751</v>
      </c>
      <c r="AI22" s="57">
        <v>1438915</v>
      </c>
      <c r="AJ22" s="57">
        <v>1338324</v>
      </c>
      <c r="AK22" s="57">
        <v>1478199</v>
      </c>
      <c r="AL22" s="199"/>
      <c r="AM22" s="153">
        <v>2991414</v>
      </c>
      <c r="AN22" s="854">
        <v>3910105</v>
      </c>
      <c r="AO22" s="55">
        <v>-918691</v>
      </c>
      <c r="AP22" s="46">
        <v>-0.23495302555813719</v>
      </c>
      <c r="AQ22" s="53"/>
      <c r="AR22" s="59">
        <v>3538170</v>
      </c>
      <c r="AS22" s="59">
        <v>4753144</v>
      </c>
      <c r="AT22" s="59">
        <v>4340608</v>
      </c>
      <c r="AU22" s="59">
        <v>2722103</v>
      </c>
      <c r="AV22" s="59">
        <v>1649395</v>
      </c>
      <c r="AW22" s="59">
        <v>1741274</v>
      </c>
      <c r="AX22" s="59">
        <v>2237751</v>
      </c>
      <c r="AY22" s="59">
        <v>1890143</v>
      </c>
      <c r="AZ22" s="59">
        <v>1415954</v>
      </c>
      <c r="BA22" s="59">
        <v>1409679</v>
      </c>
      <c r="BB22" s="760"/>
    </row>
    <row r="23" spans="1:54" ht="12.75" customHeight="1">
      <c r="A23" s="8"/>
      <c r="B23" s="7" t="s">
        <v>320</v>
      </c>
      <c r="C23" s="56">
        <v>-3803</v>
      </c>
      <c r="D23" s="41">
        <v>-0.23898699176773708</v>
      </c>
      <c r="E23" s="591"/>
      <c r="F23" s="70"/>
      <c r="G23" s="70">
        <v>12110</v>
      </c>
      <c r="H23" s="70">
        <v>12375</v>
      </c>
      <c r="I23" s="57">
        <v>12244</v>
      </c>
      <c r="J23" s="70">
        <v>16169</v>
      </c>
      <c r="K23" s="254">
        <v>15913</v>
      </c>
      <c r="L23" s="70">
        <v>16047</v>
      </c>
      <c r="M23" s="57">
        <v>16882</v>
      </c>
      <c r="N23" s="70">
        <v>17454</v>
      </c>
      <c r="O23" s="70">
        <v>18218</v>
      </c>
      <c r="P23" s="746">
        <v>0</v>
      </c>
      <c r="Q23" s="747">
        <v>0</v>
      </c>
      <c r="R23" s="746">
        <v>0</v>
      </c>
      <c r="S23" s="746">
        <v>0</v>
      </c>
      <c r="T23" s="746">
        <v>0</v>
      </c>
      <c r="U23" s="747">
        <v>0</v>
      </c>
      <c r="V23" s="746">
        <v>0</v>
      </c>
      <c r="W23" s="746">
        <v>0</v>
      </c>
      <c r="X23" s="55"/>
      <c r="Y23" s="57"/>
      <c r="Z23" s="55"/>
      <c r="AA23" s="55"/>
      <c r="AB23" s="55"/>
      <c r="AC23" s="57"/>
      <c r="AD23" s="55"/>
      <c r="AE23" s="55"/>
      <c r="AF23" s="55"/>
      <c r="AG23" s="55"/>
      <c r="AH23" s="59"/>
      <c r="AI23" s="57"/>
      <c r="AJ23" s="57"/>
      <c r="AK23" s="57"/>
      <c r="AL23" s="199"/>
      <c r="AM23" s="153">
        <v>12110</v>
      </c>
      <c r="AN23" s="854">
        <v>15913</v>
      </c>
      <c r="AO23" s="55">
        <v>-3803</v>
      </c>
      <c r="AP23" s="46">
        <v>-0.23898699176773708</v>
      </c>
      <c r="AQ23" s="53"/>
      <c r="AR23" s="59">
        <v>16169</v>
      </c>
      <c r="AS23" s="59">
        <v>17454</v>
      </c>
      <c r="AT23" s="745">
        <v>0</v>
      </c>
      <c r="AU23" s="745">
        <v>0</v>
      </c>
      <c r="AV23" s="745">
        <v>0</v>
      </c>
      <c r="AW23" s="745">
        <v>0</v>
      </c>
      <c r="AX23" s="745">
        <v>0</v>
      </c>
      <c r="AY23" s="59"/>
      <c r="AZ23" s="59"/>
      <c r="BA23" s="59"/>
      <c r="BB23" s="760"/>
    </row>
    <row r="24" spans="1:54" ht="12.75" customHeight="1">
      <c r="A24" s="8"/>
      <c r="B24" s="7" t="s">
        <v>11</v>
      </c>
      <c r="C24" s="56">
        <v>68213</v>
      </c>
      <c r="D24" s="41">
        <v>0.06489165064503516</v>
      </c>
      <c r="E24" s="591"/>
      <c r="F24" s="70"/>
      <c r="G24" s="70">
        <v>1119396</v>
      </c>
      <c r="H24" s="70">
        <v>1082613</v>
      </c>
      <c r="I24" s="57">
        <v>1068625</v>
      </c>
      <c r="J24" s="70">
        <v>1049163</v>
      </c>
      <c r="K24" s="254">
        <v>1051183</v>
      </c>
      <c r="L24" s="70">
        <v>1033842</v>
      </c>
      <c r="M24" s="57">
        <v>1057969</v>
      </c>
      <c r="N24" s="55">
        <v>992125</v>
      </c>
      <c r="O24" s="55">
        <v>852295</v>
      </c>
      <c r="P24" s="55">
        <v>863493</v>
      </c>
      <c r="Q24" s="57">
        <v>848241</v>
      </c>
      <c r="R24" s="55">
        <v>756892</v>
      </c>
      <c r="S24" s="55">
        <v>724726</v>
      </c>
      <c r="T24" s="55">
        <v>680530</v>
      </c>
      <c r="U24" s="57">
        <v>670996</v>
      </c>
      <c r="V24" s="55">
        <v>401745</v>
      </c>
      <c r="W24" s="55">
        <v>400667</v>
      </c>
      <c r="X24" s="55">
        <v>388225</v>
      </c>
      <c r="Y24" s="57">
        <v>385396</v>
      </c>
      <c r="Z24" s="55">
        <v>372704</v>
      </c>
      <c r="AA24" s="55">
        <v>357961</v>
      </c>
      <c r="AB24" s="55">
        <v>414308</v>
      </c>
      <c r="AC24" s="57">
        <v>439902</v>
      </c>
      <c r="AD24" s="55">
        <v>357444</v>
      </c>
      <c r="AE24" s="55">
        <v>390228</v>
      </c>
      <c r="AF24" s="55">
        <v>382313</v>
      </c>
      <c r="AG24" s="55">
        <v>389241</v>
      </c>
      <c r="AH24" s="59">
        <v>372191</v>
      </c>
      <c r="AI24" s="57">
        <v>355228</v>
      </c>
      <c r="AJ24" s="57">
        <v>327089</v>
      </c>
      <c r="AK24" s="57">
        <v>311198</v>
      </c>
      <c r="AL24" s="199"/>
      <c r="AM24" s="153">
        <v>1119396</v>
      </c>
      <c r="AN24" s="854">
        <v>1051183</v>
      </c>
      <c r="AO24" s="55">
        <v>68213</v>
      </c>
      <c r="AP24" s="46">
        <v>0.06489165064503516</v>
      </c>
      <c r="AQ24" s="53"/>
      <c r="AR24" s="59">
        <v>1049163</v>
      </c>
      <c r="AS24" s="59">
        <v>992125</v>
      </c>
      <c r="AT24" s="59">
        <v>756892</v>
      </c>
      <c r="AU24" s="59">
        <v>401745</v>
      </c>
      <c r="AV24" s="59">
        <v>372704</v>
      </c>
      <c r="AW24" s="59">
        <v>357444</v>
      </c>
      <c r="AX24" s="59">
        <v>372191</v>
      </c>
      <c r="AY24" s="59">
        <v>287830</v>
      </c>
      <c r="AZ24" s="59">
        <v>222211</v>
      </c>
      <c r="BA24" s="59">
        <v>98687</v>
      </c>
      <c r="BB24" s="760"/>
    </row>
    <row r="25" spans="1:54" ht="9.75" customHeight="1">
      <c r="A25" s="8"/>
      <c r="B25" s="7"/>
      <c r="C25" s="56"/>
      <c r="D25" s="46"/>
      <c r="E25" s="591"/>
      <c r="F25" s="47"/>
      <c r="G25" s="47"/>
      <c r="H25" s="1"/>
      <c r="I25" s="417"/>
      <c r="J25" s="47"/>
      <c r="K25" s="47"/>
      <c r="L25" s="1"/>
      <c r="M25" s="417"/>
      <c r="N25" s="47"/>
      <c r="O25" s="47"/>
      <c r="P25" s="1"/>
      <c r="Q25" s="417"/>
      <c r="R25" s="47"/>
      <c r="S25" s="47"/>
      <c r="T25" s="1"/>
      <c r="U25" s="417"/>
      <c r="V25" s="47"/>
      <c r="W25" s="47"/>
      <c r="X25" s="1"/>
      <c r="Y25" s="417"/>
      <c r="Z25" s="47"/>
      <c r="AA25" s="47"/>
      <c r="AB25" s="1"/>
      <c r="AC25" s="417"/>
      <c r="AD25" s="55"/>
      <c r="AE25" s="55"/>
      <c r="AF25" s="55"/>
      <c r="AG25" s="55"/>
      <c r="AH25" s="59"/>
      <c r="AI25" s="57"/>
      <c r="AJ25" s="57"/>
      <c r="AK25" s="57"/>
      <c r="AL25" s="199"/>
      <c r="AM25" s="1"/>
      <c r="AN25" s="1"/>
      <c r="AO25" s="55"/>
      <c r="AP25" s="46"/>
      <c r="AQ25" s="53"/>
      <c r="AR25" s="59"/>
      <c r="AS25" s="59"/>
      <c r="AT25" s="59"/>
      <c r="AU25" s="59"/>
      <c r="AV25" s="59"/>
      <c r="AW25" s="59"/>
      <c r="AX25" s="59"/>
      <c r="AY25" s="404"/>
      <c r="AZ25" s="404"/>
      <c r="BA25" s="404"/>
      <c r="BB25" s="760"/>
    </row>
    <row r="26" spans="1:54" ht="12.75" customHeight="1">
      <c r="A26" s="142" t="s">
        <v>340</v>
      </c>
      <c r="B26" s="7"/>
      <c r="C26" s="56"/>
      <c r="D26" s="46"/>
      <c r="E26" s="591"/>
      <c r="F26" s="47"/>
      <c r="G26" s="47"/>
      <c r="H26" s="1"/>
      <c r="I26" s="417"/>
      <c r="J26" s="47"/>
      <c r="K26" s="47"/>
      <c r="L26" s="1"/>
      <c r="M26" s="417"/>
      <c r="N26" s="47"/>
      <c r="O26" s="47"/>
      <c r="P26" s="1"/>
      <c r="Q26" s="417"/>
      <c r="R26" s="47"/>
      <c r="S26" s="47"/>
      <c r="T26" s="1"/>
      <c r="U26" s="417"/>
      <c r="V26" s="47"/>
      <c r="W26" s="47"/>
      <c r="X26" s="1"/>
      <c r="Y26" s="417"/>
      <c r="Z26" s="47"/>
      <c r="AA26" s="47"/>
      <c r="AB26" s="1"/>
      <c r="AC26" s="417"/>
      <c r="AD26" s="55"/>
      <c r="AE26" s="55"/>
      <c r="AF26" s="55"/>
      <c r="AG26" s="55"/>
      <c r="AH26" s="59"/>
      <c r="AI26" s="57"/>
      <c r="AJ26" s="57"/>
      <c r="AK26" s="57"/>
      <c r="AL26" s="199"/>
      <c r="AM26" s="1"/>
      <c r="AN26" s="1"/>
      <c r="AO26" s="55"/>
      <c r="AP26" s="46"/>
      <c r="AQ26" s="53"/>
      <c r="AR26" s="59"/>
      <c r="AS26" s="59"/>
      <c r="AT26" s="59"/>
      <c r="AU26" s="59"/>
      <c r="AV26" s="59"/>
      <c r="AW26" s="59"/>
      <c r="AX26" s="59"/>
      <c r="AY26" s="59"/>
      <c r="AZ26" s="59"/>
      <c r="BA26" s="59"/>
      <c r="BB26" s="760"/>
    </row>
    <row r="27" spans="1:54" ht="13.5" customHeight="1">
      <c r="A27" s="142"/>
      <c r="B27" s="7" t="s">
        <v>341</v>
      </c>
      <c r="C27" s="56">
        <v>279</v>
      </c>
      <c r="D27" s="41">
        <v>0.3527180783817952</v>
      </c>
      <c r="E27" s="591"/>
      <c r="F27" s="55"/>
      <c r="G27" s="55">
        <v>1070</v>
      </c>
      <c r="H27" s="55">
        <v>935</v>
      </c>
      <c r="I27" s="57">
        <v>880</v>
      </c>
      <c r="J27" s="55">
        <v>835</v>
      </c>
      <c r="K27" s="55">
        <v>791</v>
      </c>
      <c r="L27" s="55">
        <v>784</v>
      </c>
      <c r="M27" s="57">
        <v>709</v>
      </c>
      <c r="N27" s="55">
        <v>677</v>
      </c>
      <c r="O27" s="55">
        <v>607</v>
      </c>
      <c r="P27" s="55">
        <v>574</v>
      </c>
      <c r="Q27" s="57">
        <v>575</v>
      </c>
      <c r="R27" s="55">
        <v>546</v>
      </c>
      <c r="S27" s="55">
        <v>514</v>
      </c>
      <c r="T27" s="55">
        <v>473</v>
      </c>
      <c r="U27" s="57">
        <v>431</v>
      </c>
      <c r="V27" s="55">
        <v>445</v>
      </c>
      <c r="W27" s="55"/>
      <c r="X27" s="55"/>
      <c r="Y27" s="57"/>
      <c r="Z27" s="55"/>
      <c r="AA27" s="55"/>
      <c r="AB27" s="55"/>
      <c r="AC27" s="55"/>
      <c r="AD27" s="56"/>
      <c r="AE27" s="55"/>
      <c r="AF27" s="55"/>
      <c r="AG27" s="55"/>
      <c r="AH27" s="59"/>
      <c r="AI27" s="57"/>
      <c r="AJ27" s="57"/>
      <c r="AK27" s="57"/>
      <c r="AL27" s="199"/>
      <c r="AM27" s="854">
        <v>1070</v>
      </c>
      <c r="AN27" s="854">
        <v>791</v>
      </c>
      <c r="AO27" s="55">
        <v>279</v>
      </c>
      <c r="AP27" s="46">
        <v>0.3527180783817952</v>
      </c>
      <c r="AQ27" s="53"/>
      <c r="AR27" s="59">
        <v>835</v>
      </c>
      <c r="AS27" s="59">
        <v>677</v>
      </c>
      <c r="AT27" s="59">
        <v>546</v>
      </c>
      <c r="AU27" s="59">
        <v>445</v>
      </c>
      <c r="AV27" s="59">
        <v>393</v>
      </c>
      <c r="AW27" s="59">
        <v>730</v>
      </c>
      <c r="AX27" s="59"/>
      <c r="AY27" s="59"/>
      <c r="AZ27" s="59"/>
      <c r="BA27" s="59"/>
      <c r="BB27" s="760"/>
    </row>
    <row r="28" spans="1:54" ht="13.5" customHeight="1">
      <c r="A28" s="8"/>
      <c r="B28" s="779" t="s">
        <v>342</v>
      </c>
      <c r="C28" s="56">
        <v>-1867</v>
      </c>
      <c r="D28" s="41">
        <v>-0.16372884328685433</v>
      </c>
      <c r="E28" s="591"/>
      <c r="F28" s="55"/>
      <c r="G28" s="55">
        <v>9536</v>
      </c>
      <c r="H28" s="55">
        <v>9427</v>
      </c>
      <c r="I28" s="57">
        <v>9325</v>
      </c>
      <c r="J28" s="55">
        <v>10429</v>
      </c>
      <c r="K28" s="55">
        <v>11403</v>
      </c>
      <c r="L28" s="55">
        <v>13344</v>
      </c>
      <c r="M28" s="57">
        <v>13137</v>
      </c>
      <c r="N28" s="55">
        <v>14828</v>
      </c>
      <c r="O28" s="55">
        <v>14367</v>
      </c>
      <c r="P28" s="55">
        <v>14635</v>
      </c>
      <c r="Q28" s="57">
        <v>15676</v>
      </c>
      <c r="R28" s="55">
        <v>16985</v>
      </c>
      <c r="S28" s="55">
        <v>16006</v>
      </c>
      <c r="T28" s="55">
        <v>13895</v>
      </c>
      <c r="U28" s="57">
        <v>12571</v>
      </c>
      <c r="V28" s="55">
        <v>12922</v>
      </c>
      <c r="W28" s="55">
        <v>12210</v>
      </c>
      <c r="X28" s="55">
        <v>11386</v>
      </c>
      <c r="Y28" s="57">
        <v>10341</v>
      </c>
      <c r="Z28" s="55">
        <v>9184</v>
      </c>
      <c r="AA28" s="55">
        <v>9030</v>
      </c>
      <c r="AB28" s="55">
        <v>11584</v>
      </c>
      <c r="AC28" s="55">
        <v>14695</v>
      </c>
      <c r="AD28" s="56">
        <v>14295</v>
      </c>
      <c r="AE28" s="55">
        <v>14860</v>
      </c>
      <c r="AF28" s="55">
        <v>15288</v>
      </c>
      <c r="AG28" s="55">
        <v>15701</v>
      </c>
      <c r="AH28" s="59">
        <v>15014</v>
      </c>
      <c r="AI28" s="57">
        <v>14121</v>
      </c>
      <c r="AJ28" s="57">
        <v>13826</v>
      </c>
      <c r="AK28" s="57">
        <v>13942</v>
      </c>
      <c r="AL28" s="199"/>
      <c r="AM28" s="854">
        <v>9536</v>
      </c>
      <c r="AN28" s="854">
        <v>11403</v>
      </c>
      <c r="AO28" s="55">
        <v>-1867</v>
      </c>
      <c r="AP28" s="46">
        <v>-0.16372884328685433</v>
      </c>
      <c r="AQ28" s="53"/>
      <c r="AR28" s="59">
        <v>10429</v>
      </c>
      <c r="AS28" s="59">
        <v>14828</v>
      </c>
      <c r="AT28" s="59">
        <v>16985</v>
      </c>
      <c r="AU28" s="59">
        <v>12922</v>
      </c>
      <c r="AV28" s="59">
        <v>9184</v>
      </c>
      <c r="AW28" s="59">
        <v>14295</v>
      </c>
      <c r="AX28" s="59">
        <v>15014</v>
      </c>
      <c r="AY28" s="59">
        <v>14310</v>
      </c>
      <c r="AZ28" s="59">
        <v>9967</v>
      </c>
      <c r="BA28" s="59">
        <v>8292</v>
      </c>
      <c r="BB28" s="760"/>
    </row>
    <row r="29" spans="1:54" ht="13.5" customHeight="1">
      <c r="A29" s="8"/>
      <c r="B29" s="779" t="s">
        <v>352</v>
      </c>
      <c r="C29" s="56">
        <v>3756</v>
      </c>
      <c r="D29" s="41">
        <v>0.2466509062253743</v>
      </c>
      <c r="E29" s="591"/>
      <c r="F29" s="55"/>
      <c r="G29" s="55">
        <v>18984</v>
      </c>
      <c r="H29" s="55">
        <v>17655</v>
      </c>
      <c r="I29" s="57">
        <v>16125</v>
      </c>
      <c r="J29" s="55">
        <v>15936</v>
      </c>
      <c r="K29" s="55">
        <v>15228</v>
      </c>
      <c r="L29" s="55">
        <v>13122</v>
      </c>
      <c r="M29" s="57">
        <v>12583</v>
      </c>
      <c r="N29" s="55">
        <v>13087.2</v>
      </c>
      <c r="O29" s="55">
        <v>0</v>
      </c>
      <c r="P29" s="55">
        <v>0</v>
      </c>
      <c r="Q29" s="57">
        <v>0</v>
      </c>
      <c r="R29" s="55">
        <v>0</v>
      </c>
      <c r="S29" s="55">
        <v>0</v>
      </c>
      <c r="T29" s="55">
        <v>0</v>
      </c>
      <c r="U29" s="57">
        <v>0</v>
      </c>
      <c r="V29" s="55">
        <v>0</v>
      </c>
      <c r="W29" s="55">
        <v>423</v>
      </c>
      <c r="X29" s="55">
        <v>453</v>
      </c>
      <c r="Y29" s="57">
        <v>443</v>
      </c>
      <c r="Z29" s="55">
        <v>393</v>
      </c>
      <c r="AA29" s="55">
        <v>454</v>
      </c>
      <c r="AB29" s="55">
        <v>609</v>
      </c>
      <c r="AC29" s="55">
        <v>747</v>
      </c>
      <c r="AD29" s="56">
        <v>730</v>
      </c>
      <c r="AE29" s="55">
        <v>760</v>
      </c>
      <c r="AF29" s="55">
        <v>777</v>
      </c>
      <c r="AG29" s="55">
        <v>815</v>
      </c>
      <c r="AH29" s="59">
        <v>807</v>
      </c>
      <c r="AI29" s="57">
        <v>814</v>
      </c>
      <c r="AJ29" s="57">
        <v>745</v>
      </c>
      <c r="AK29" s="57">
        <v>712</v>
      </c>
      <c r="AL29" s="199"/>
      <c r="AM29" s="854">
        <v>18984</v>
      </c>
      <c r="AN29" s="854">
        <v>15228</v>
      </c>
      <c r="AO29" s="55">
        <v>3756</v>
      </c>
      <c r="AP29" s="46">
        <v>0.2466509062253743</v>
      </c>
      <c r="AQ29" s="53"/>
      <c r="AR29" s="59">
        <v>15936</v>
      </c>
      <c r="AS29" s="59">
        <v>13087.2</v>
      </c>
      <c r="AT29" s="59">
        <v>0</v>
      </c>
      <c r="AU29" s="59">
        <v>0</v>
      </c>
      <c r="AV29" s="59">
        <v>0</v>
      </c>
      <c r="AW29" s="59">
        <v>0</v>
      </c>
      <c r="AX29" s="59">
        <v>807</v>
      </c>
      <c r="AY29" s="59">
        <v>613</v>
      </c>
      <c r="AZ29" s="59">
        <v>380</v>
      </c>
      <c r="BA29" s="59">
        <v>237</v>
      </c>
      <c r="BB29" s="760"/>
    </row>
    <row r="30" spans="1:54" ht="13.5" customHeight="1">
      <c r="A30" s="8"/>
      <c r="B30" s="779" t="s">
        <v>379</v>
      </c>
      <c r="C30" s="56">
        <v>55</v>
      </c>
      <c r="D30" s="41">
        <v>0.13480392156862744</v>
      </c>
      <c r="E30" s="591"/>
      <c r="F30" s="55"/>
      <c r="G30" s="55">
        <v>463</v>
      </c>
      <c r="H30" s="55">
        <v>411</v>
      </c>
      <c r="I30" s="57">
        <v>360</v>
      </c>
      <c r="J30" s="55">
        <v>451</v>
      </c>
      <c r="K30" s="55">
        <v>408</v>
      </c>
      <c r="L30" s="55">
        <v>354</v>
      </c>
      <c r="M30" s="57">
        <v>305.208757658577</v>
      </c>
      <c r="N30" s="55">
        <v>0</v>
      </c>
      <c r="O30" s="55">
        <v>0</v>
      </c>
      <c r="P30" s="55">
        <v>0</v>
      </c>
      <c r="Q30" s="57">
        <v>0</v>
      </c>
      <c r="R30" s="55">
        <v>0</v>
      </c>
      <c r="S30" s="55">
        <v>0</v>
      </c>
      <c r="T30" s="55">
        <v>0</v>
      </c>
      <c r="U30" s="57">
        <v>0</v>
      </c>
      <c r="V30" s="55"/>
      <c r="W30" s="55"/>
      <c r="X30" s="55"/>
      <c r="Y30" s="57"/>
      <c r="Z30" s="55"/>
      <c r="AA30" s="55"/>
      <c r="AB30" s="55"/>
      <c r="AC30" s="55"/>
      <c r="AD30" s="55"/>
      <c r="AE30" s="55"/>
      <c r="AF30" s="55"/>
      <c r="AG30" s="55"/>
      <c r="AH30" s="59"/>
      <c r="AI30" s="57"/>
      <c r="AJ30" s="57"/>
      <c r="AK30" s="57"/>
      <c r="AL30" s="199"/>
      <c r="AM30" s="854">
        <v>463</v>
      </c>
      <c r="AN30" s="854">
        <v>408</v>
      </c>
      <c r="AO30" s="55">
        <v>55</v>
      </c>
      <c r="AP30" s="46">
        <v>0.13480392156862744</v>
      </c>
      <c r="AQ30" s="53"/>
      <c r="AR30" s="59">
        <v>451</v>
      </c>
      <c r="AS30" s="59">
        <v>0</v>
      </c>
      <c r="AT30" s="59">
        <v>0</v>
      </c>
      <c r="AU30" s="59">
        <v>0</v>
      </c>
      <c r="AV30" s="59">
        <v>0</v>
      </c>
      <c r="AW30" s="59">
        <v>0</v>
      </c>
      <c r="AX30" s="59"/>
      <c r="AY30" s="59"/>
      <c r="AZ30" s="59"/>
      <c r="BA30" s="59"/>
      <c r="BB30" s="760"/>
    </row>
    <row r="31" spans="1:54" ht="12.75" customHeight="1">
      <c r="A31" s="8"/>
      <c r="B31" s="779" t="s">
        <v>348</v>
      </c>
      <c r="C31" s="56">
        <v>1944</v>
      </c>
      <c r="D31" s="41">
        <v>0.07189615000554754</v>
      </c>
      <c r="E31" s="591"/>
      <c r="F31" s="55"/>
      <c r="G31" s="55">
        <v>28983</v>
      </c>
      <c r="H31" s="55">
        <v>27493</v>
      </c>
      <c r="I31" s="57">
        <v>25810</v>
      </c>
      <c r="J31" s="55">
        <v>26816</v>
      </c>
      <c r="K31" s="55">
        <v>27039</v>
      </c>
      <c r="L31" s="55">
        <v>26820</v>
      </c>
      <c r="M31" s="57">
        <v>26025.208757658576</v>
      </c>
      <c r="N31" s="55">
        <v>27915.2</v>
      </c>
      <c r="O31" s="55">
        <v>14367</v>
      </c>
      <c r="P31" s="55">
        <v>14635</v>
      </c>
      <c r="Q31" s="57">
        <v>15676</v>
      </c>
      <c r="R31" s="55">
        <v>16985</v>
      </c>
      <c r="S31" s="55">
        <v>16006</v>
      </c>
      <c r="T31" s="55">
        <v>13895</v>
      </c>
      <c r="U31" s="57">
        <v>12571</v>
      </c>
      <c r="V31" s="55">
        <v>12922</v>
      </c>
      <c r="W31" s="55"/>
      <c r="X31" s="55"/>
      <c r="Y31" s="57"/>
      <c r="Z31" s="55"/>
      <c r="AA31" s="55"/>
      <c r="AB31" s="55"/>
      <c r="AC31" s="55"/>
      <c r="AD31" s="55"/>
      <c r="AE31" s="55"/>
      <c r="AF31" s="55"/>
      <c r="AG31" s="55"/>
      <c r="AH31" s="59"/>
      <c r="AI31" s="57"/>
      <c r="AJ31" s="57"/>
      <c r="AK31" s="57"/>
      <c r="AL31" s="199"/>
      <c r="AM31" s="854">
        <v>28983</v>
      </c>
      <c r="AN31" s="854">
        <v>27039</v>
      </c>
      <c r="AO31" s="55">
        <v>1944</v>
      </c>
      <c r="AP31" s="46">
        <v>0.07189615000554754</v>
      </c>
      <c r="AQ31" s="53"/>
      <c r="AR31" s="59">
        <v>26816</v>
      </c>
      <c r="AS31" s="59">
        <v>27915.2</v>
      </c>
      <c r="AT31" s="59">
        <v>16985</v>
      </c>
      <c r="AU31" s="59">
        <v>12922</v>
      </c>
      <c r="AV31" s="59">
        <v>9184</v>
      </c>
      <c r="AW31" s="59">
        <v>14295</v>
      </c>
      <c r="AX31" s="59"/>
      <c r="AY31" s="59"/>
      <c r="AZ31" s="59"/>
      <c r="BA31" s="59"/>
      <c r="BB31" s="760"/>
    </row>
    <row r="32" spans="1:54" ht="9.75" customHeight="1">
      <c r="A32" s="8"/>
      <c r="B32" s="7"/>
      <c r="C32" s="56"/>
      <c r="D32" s="46"/>
      <c r="E32" s="591"/>
      <c r="F32" s="47"/>
      <c r="G32" s="47"/>
      <c r="H32" s="1"/>
      <c r="I32" s="417"/>
      <c r="J32" s="47"/>
      <c r="K32" s="47"/>
      <c r="L32" s="1"/>
      <c r="M32" s="417"/>
      <c r="N32" s="47"/>
      <c r="O32" s="47"/>
      <c r="P32" s="1"/>
      <c r="Q32" s="417"/>
      <c r="R32" s="47"/>
      <c r="S32" s="47"/>
      <c r="T32" s="1"/>
      <c r="U32" s="417"/>
      <c r="V32" s="47"/>
      <c r="W32" s="47"/>
      <c r="X32" s="1"/>
      <c r="Y32" s="417"/>
      <c r="Z32" s="47"/>
      <c r="AA32" s="47"/>
      <c r="AB32" s="1"/>
      <c r="AC32" s="417"/>
      <c r="AD32" s="55"/>
      <c r="AE32" s="55"/>
      <c r="AF32" s="55"/>
      <c r="AG32" s="55"/>
      <c r="AH32" s="59"/>
      <c r="AI32" s="57"/>
      <c r="AJ32" s="57"/>
      <c r="AK32" s="57"/>
      <c r="AL32" s="199"/>
      <c r="AM32" s="1"/>
      <c r="AN32" s="1"/>
      <c r="AO32" s="55"/>
      <c r="AP32" s="46"/>
      <c r="AQ32" s="53"/>
      <c r="AR32" s="59"/>
      <c r="AS32" s="59"/>
      <c r="AT32" s="59"/>
      <c r="AU32" s="59"/>
      <c r="AV32" s="59"/>
      <c r="AW32" s="59"/>
      <c r="AX32" s="59"/>
      <c r="AY32" s="404"/>
      <c r="AZ32" s="404"/>
      <c r="BA32" s="404"/>
      <c r="BB32" s="760"/>
    </row>
    <row r="33" spans="1:54" ht="12.75" customHeight="1">
      <c r="A33" s="142" t="s">
        <v>12</v>
      </c>
      <c r="B33" s="7"/>
      <c r="C33" s="56"/>
      <c r="D33" s="46"/>
      <c r="E33" s="591"/>
      <c r="F33" s="47"/>
      <c r="G33" s="47"/>
      <c r="H33" s="1"/>
      <c r="I33" s="417"/>
      <c r="J33" s="47"/>
      <c r="K33" s="47"/>
      <c r="L33" s="1"/>
      <c r="M33" s="417"/>
      <c r="N33" s="47"/>
      <c r="O33" s="47"/>
      <c r="P33" s="1"/>
      <c r="Q33" s="417"/>
      <c r="R33" s="47"/>
      <c r="S33" s="47"/>
      <c r="T33" s="1"/>
      <c r="U33" s="417"/>
      <c r="V33" s="47"/>
      <c r="W33" s="47"/>
      <c r="X33" s="1"/>
      <c r="Y33" s="417"/>
      <c r="Z33" s="47"/>
      <c r="AA33" s="47"/>
      <c r="AB33" s="1"/>
      <c r="AC33" s="417"/>
      <c r="AD33" s="55"/>
      <c r="AE33" s="55"/>
      <c r="AF33" s="55"/>
      <c r="AG33" s="55"/>
      <c r="AH33" s="59"/>
      <c r="AI33" s="57"/>
      <c r="AJ33" s="57"/>
      <c r="AK33" s="57"/>
      <c r="AL33" s="199"/>
      <c r="AM33" s="1"/>
      <c r="AN33" s="1"/>
      <c r="AO33" s="55"/>
      <c r="AP33" s="46"/>
      <c r="AQ33" s="53"/>
      <c r="AR33" s="59"/>
      <c r="AS33" s="59"/>
      <c r="AT33" s="59"/>
      <c r="AU33" s="59"/>
      <c r="AV33" s="59"/>
      <c r="AW33" s="59"/>
      <c r="AX33" s="59"/>
      <c r="AY33" s="59"/>
      <c r="AZ33" s="59"/>
      <c r="BA33" s="59"/>
      <c r="BB33" s="760"/>
    </row>
    <row r="34" spans="1:54" ht="12.75" customHeight="1">
      <c r="A34" s="7" t="s">
        <v>13</v>
      </c>
      <c r="B34" s="7"/>
      <c r="C34" s="56"/>
      <c r="D34" s="46"/>
      <c r="E34" s="591"/>
      <c r="F34" s="47"/>
      <c r="G34" s="47"/>
      <c r="H34" s="1"/>
      <c r="I34" s="417"/>
      <c r="J34" s="47"/>
      <c r="K34" s="47"/>
      <c r="L34" s="1"/>
      <c r="M34" s="417"/>
      <c r="N34" s="47"/>
      <c r="O34" s="47"/>
      <c r="P34" s="1"/>
      <c r="Q34" s="417"/>
      <c r="R34" s="47"/>
      <c r="S34" s="47"/>
      <c r="T34" s="1"/>
      <c r="U34" s="417"/>
      <c r="V34" s="47"/>
      <c r="W34" s="47"/>
      <c r="X34" s="1"/>
      <c r="Y34" s="417"/>
      <c r="Z34" s="47"/>
      <c r="AA34" s="47"/>
      <c r="AB34" s="1"/>
      <c r="AC34" s="417"/>
      <c r="AD34" s="55"/>
      <c r="AE34" s="55"/>
      <c r="AF34" s="55"/>
      <c r="AG34" s="55"/>
      <c r="AH34" s="59"/>
      <c r="AI34" s="57"/>
      <c r="AJ34" s="57"/>
      <c r="AK34" s="57"/>
      <c r="AL34" s="199"/>
      <c r="AM34" s="1"/>
      <c r="AN34" s="1"/>
      <c r="AO34" s="55"/>
      <c r="AP34" s="46"/>
      <c r="AQ34" s="53"/>
      <c r="AR34" s="59"/>
      <c r="AS34" s="59"/>
      <c r="AT34" s="59"/>
      <c r="AU34" s="59"/>
      <c r="AV34" s="59"/>
      <c r="AW34" s="59"/>
      <c r="AX34" s="59"/>
      <c r="AY34" s="59"/>
      <c r="AZ34" s="59"/>
      <c r="BA34" s="59"/>
      <c r="BB34" s="760"/>
    </row>
    <row r="35" spans="1:54" ht="12.75" customHeight="1">
      <c r="A35" s="7"/>
      <c r="B35" s="7" t="s">
        <v>14</v>
      </c>
      <c r="C35" s="87">
        <v>0.06</v>
      </c>
      <c r="D35" s="41">
        <v>0.6666666666666666</v>
      </c>
      <c r="E35" s="591"/>
      <c r="F35" s="51"/>
      <c r="G35" s="64">
        <v>0.15</v>
      </c>
      <c r="H35" s="51">
        <v>-0.03</v>
      </c>
      <c r="I35" s="672">
        <v>0.06</v>
      </c>
      <c r="J35" s="51">
        <v>0.04</v>
      </c>
      <c r="K35" s="64">
        <v>0.09</v>
      </c>
      <c r="L35" s="51">
        <v>-0.19</v>
      </c>
      <c r="M35" s="672">
        <v>-0.24</v>
      </c>
      <c r="N35" s="51">
        <v>-0.42</v>
      </c>
      <c r="O35" s="64">
        <v>0.02</v>
      </c>
      <c r="P35" s="51">
        <v>-0.09</v>
      </c>
      <c r="Q35" s="681">
        <v>0.17</v>
      </c>
      <c r="R35" s="64">
        <v>0.55</v>
      </c>
      <c r="S35" s="64">
        <v>0.57</v>
      </c>
      <c r="T35" s="51">
        <v>0.14</v>
      </c>
      <c r="U35" s="681">
        <v>0.08</v>
      </c>
      <c r="V35" s="64">
        <v>0.15</v>
      </c>
      <c r="W35" s="51">
        <v>0.31</v>
      </c>
      <c r="X35" s="51">
        <v>0.14</v>
      </c>
      <c r="Y35" s="417">
        <v>0.19</v>
      </c>
      <c r="Z35" s="64">
        <v>0.07</v>
      </c>
      <c r="AA35" s="51">
        <v>-1.27</v>
      </c>
      <c r="AB35" s="51">
        <v>-0.11</v>
      </c>
      <c r="AC35" s="417">
        <v>0.35</v>
      </c>
      <c r="AD35" s="51">
        <v>-0.8</v>
      </c>
      <c r="AE35" s="51">
        <v>0.34</v>
      </c>
      <c r="AF35" s="51">
        <v>0.28</v>
      </c>
      <c r="AG35" s="51">
        <v>0.86</v>
      </c>
      <c r="AH35" s="48">
        <v>0.57</v>
      </c>
      <c r="AI35" s="61">
        <v>0.51</v>
      </c>
      <c r="AJ35" s="61">
        <v>0.39</v>
      </c>
      <c r="AK35" s="61">
        <v>0.57</v>
      </c>
      <c r="AL35" s="199"/>
      <c r="AM35" s="51">
        <v>0.18</v>
      </c>
      <c r="AN35" s="51">
        <v>-0.35</v>
      </c>
      <c r="AO35" s="62">
        <v>0.53</v>
      </c>
      <c r="AP35" s="46">
        <v>1.5142857142857145</v>
      </c>
      <c r="AQ35" s="53"/>
      <c r="AR35" s="48">
        <v>-0.31</v>
      </c>
      <c r="AS35" s="48">
        <v>-0.33</v>
      </c>
      <c r="AT35" s="48">
        <v>1.37</v>
      </c>
      <c r="AU35" s="48">
        <v>0.79</v>
      </c>
      <c r="AV35" s="48">
        <v>-0.97</v>
      </c>
      <c r="AW35" s="48">
        <v>0.7</v>
      </c>
      <c r="AX35" s="48">
        <v>2.03</v>
      </c>
      <c r="AY35" s="48">
        <v>1.82</v>
      </c>
      <c r="AZ35" s="48">
        <v>1.17</v>
      </c>
      <c r="BA35" s="48">
        <v>1.43</v>
      </c>
      <c r="BB35" s="760"/>
    </row>
    <row r="36" spans="1:54" ht="12.75" customHeight="1">
      <c r="A36" s="7"/>
      <c r="B36" s="7" t="s">
        <v>15</v>
      </c>
      <c r="C36" s="87">
        <v>0.06000000000000001</v>
      </c>
      <c r="D36" s="41">
        <v>0.7500000000000001</v>
      </c>
      <c r="E36" s="591"/>
      <c r="F36" s="51"/>
      <c r="G36" s="64">
        <v>0.14</v>
      </c>
      <c r="H36" s="51">
        <v>-0.03</v>
      </c>
      <c r="I36" s="672">
        <v>0.06</v>
      </c>
      <c r="J36" s="51">
        <v>0.04</v>
      </c>
      <c r="K36" s="64">
        <v>0.08</v>
      </c>
      <c r="L36" s="51">
        <v>-0.19</v>
      </c>
      <c r="M36" s="672">
        <v>-0.24</v>
      </c>
      <c r="N36" s="51">
        <v>-0.42</v>
      </c>
      <c r="O36" s="64">
        <v>0.01</v>
      </c>
      <c r="P36" s="51">
        <v>-0.09</v>
      </c>
      <c r="Q36" s="681">
        <v>0.16</v>
      </c>
      <c r="R36" s="64">
        <v>0.49</v>
      </c>
      <c r="S36" s="64">
        <v>0.51</v>
      </c>
      <c r="T36" s="51">
        <v>0.12</v>
      </c>
      <c r="U36" s="681">
        <v>0.07</v>
      </c>
      <c r="V36" s="64">
        <v>0.14</v>
      </c>
      <c r="W36" s="51">
        <v>0.27</v>
      </c>
      <c r="X36" s="51">
        <v>0.12</v>
      </c>
      <c r="Y36" s="417">
        <v>0.16</v>
      </c>
      <c r="Z36" s="64">
        <v>0.07</v>
      </c>
      <c r="AA36" s="51">
        <v>-1.27</v>
      </c>
      <c r="AB36" s="51">
        <v>-0.11</v>
      </c>
      <c r="AC36" s="417">
        <v>0.31</v>
      </c>
      <c r="AD36" s="51">
        <v>-0.8</v>
      </c>
      <c r="AE36" s="51">
        <v>0.31</v>
      </c>
      <c r="AF36" s="51">
        <v>0.26</v>
      </c>
      <c r="AG36" s="51">
        <v>0.8</v>
      </c>
      <c r="AH36" s="48">
        <v>0.54</v>
      </c>
      <c r="AI36" s="61">
        <v>0.49</v>
      </c>
      <c r="AJ36" s="61">
        <v>0.37</v>
      </c>
      <c r="AK36" s="61">
        <v>0.54</v>
      </c>
      <c r="AL36" s="199"/>
      <c r="AM36" s="51">
        <v>0.16</v>
      </c>
      <c r="AN36" s="51">
        <v>-0.35</v>
      </c>
      <c r="AO36" s="62">
        <v>0.51</v>
      </c>
      <c r="AP36" s="46">
        <v>1.4571428571428573</v>
      </c>
      <c r="AQ36" s="53"/>
      <c r="AR36" s="48">
        <v>-0.31</v>
      </c>
      <c r="AS36" s="48">
        <v>-0.33</v>
      </c>
      <c r="AT36" s="48">
        <v>1.22</v>
      </c>
      <c r="AU36" s="48">
        <v>0.69</v>
      </c>
      <c r="AV36" s="48">
        <v>-0.97</v>
      </c>
      <c r="AW36" s="48">
        <v>0.64</v>
      </c>
      <c r="AX36" s="48">
        <v>1.94</v>
      </c>
      <c r="AY36" s="48">
        <v>1.74</v>
      </c>
      <c r="AZ36" s="48">
        <v>1.11</v>
      </c>
      <c r="BA36" s="48">
        <v>1.12</v>
      </c>
      <c r="BB36" s="760"/>
    </row>
    <row r="37" spans="1:54" ht="12.75" customHeight="1">
      <c r="A37" s="7"/>
      <c r="B37" s="7" t="s">
        <v>353</v>
      </c>
      <c r="C37" s="87">
        <v>0.8103708710577857</v>
      </c>
      <c r="D37" s="41">
        <v>0.10635305962329487</v>
      </c>
      <c r="E37" s="591"/>
      <c r="F37" s="51"/>
      <c r="G37" s="607">
        <v>8.43</v>
      </c>
      <c r="H37" s="51">
        <v>8</v>
      </c>
      <c r="I37" s="672">
        <v>7.869096511215604</v>
      </c>
      <c r="J37" s="51">
        <v>7.676582571769011</v>
      </c>
      <c r="K37" s="607">
        <v>7.619629128942214</v>
      </c>
      <c r="L37" s="51">
        <v>7.612902904379619</v>
      </c>
      <c r="M37" s="681">
        <v>7.90002403003414</v>
      </c>
      <c r="N37" s="51">
        <v>8.26</v>
      </c>
      <c r="O37" s="64">
        <v>8.54362469180208</v>
      </c>
      <c r="P37" s="51">
        <v>8.75416122876637</v>
      </c>
      <c r="Q37" s="681">
        <v>8.707372790945776</v>
      </c>
      <c r="R37" s="64">
        <v>8.792885431476526</v>
      </c>
      <c r="S37" s="64">
        <v>8.433123459616738</v>
      </c>
      <c r="T37" s="51">
        <v>8.047419145036363</v>
      </c>
      <c r="U37" s="681">
        <v>7.861051397875489</v>
      </c>
      <c r="V37" s="64">
        <v>6.96</v>
      </c>
      <c r="W37" s="51">
        <v>7</v>
      </c>
      <c r="X37" s="51">
        <v>6.78</v>
      </c>
      <c r="Y37" s="417">
        <v>6.73</v>
      </c>
      <c r="Z37" s="64">
        <v>6.51</v>
      </c>
      <c r="AA37" s="64">
        <v>6.37</v>
      </c>
      <c r="AB37" s="1">
        <v>7.15</v>
      </c>
      <c r="AC37" s="417">
        <v>7.66</v>
      </c>
      <c r="AD37" s="62">
        <v>7.21</v>
      </c>
      <c r="AE37" s="62">
        <v>7.95</v>
      </c>
      <c r="AF37" s="62">
        <v>7.83</v>
      </c>
      <c r="AG37" s="62">
        <v>7.96</v>
      </c>
      <c r="AH37" s="67">
        <v>7.74</v>
      </c>
      <c r="AI37" s="63">
        <v>7.43</v>
      </c>
      <c r="AJ37" s="63">
        <v>6.84</v>
      </c>
      <c r="AK37" s="63">
        <v>6.49</v>
      </c>
      <c r="AL37" s="199"/>
      <c r="AM37" s="51">
        <v>8.43</v>
      </c>
      <c r="AN37" s="51">
        <v>7.619629128942214</v>
      </c>
      <c r="AO37" s="62">
        <v>0.8103708710577857</v>
      </c>
      <c r="AP37" s="46">
        <v>0.10635305962329487</v>
      </c>
      <c r="AQ37" s="53"/>
      <c r="AR37" s="48">
        <v>7.676582571769011</v>
      </c>
      <c r="AS37" s="48">
        <v>8.26</v>
      </c>
      <c r="AT37" s="48">
        <v>8.788598723829708</v>
      </c>
      <c r="AU37" s="48">
        <v>6.96</v>
      </c>
      <c r="AV37" s="48">
        <v>6.51</v>
      </c>
      <c r="AW37" s="48">
        <v>7.21</v>
      </c>
      <c r="AX37" s="48">
        <v>7.74</v>
      </c>
      <c r="AY37" s="48">
        <v>5.99</v>
      </c>
      <c r="AZ37" s="48">
        <v>4.82</v>
      </c>
      <c r="BA37" s="48">
        <v>2.59</v>
      </c>
      <c r="BB37" s="760"/>
    </row>
    <row r="38" spans="1:54" ht="9.75" customHeight="1">
      <c r="A38" s="8"/>
      <c r="B38" s="7"/>
      <c r="C38" s="87"/>
      <c r="D38" s="46"/>
      <c r="E38" s="591"/>
      <c r="F38" s="47"/>
      <c r="G38" s="47"/>
      <c r="H38" s="1"/>
      <c r="I38" s="417"/>
      <c r="J38" s="47"/>
      <c r="K38" s="47"/>
      <c r="L38" s="1"/>
      <c r="M38" s="417"/>
      <c r="N38" s="47"/>
      <c r="O38" s="47"/>
      <c r="P38" s="1"/>
      <c r="Q38" s="417"/>
      <c r="R38" s="47"/>
      <c r="S38" s="47"/>
      <c r="T38" s="1"/>
      <c r="U38" s="417"/>
      <c r="V38" s="47"/>
      <c r="W38" s="47"/>
      <c r="X38" s="1"/>
      <c r="Y38" s="417"/>
      <c r="Z38" s="47"/>
      <c r="AA38" s="47"/>
      <c r="AB38" s="1"/>
      <c r="AC38" s="417"/>
      <c r="AD38" s="55"/>
      <c r="AE38" s="55"/>
      <c r="AF38" s="55"/>
      <c r="AG38" s="55"/>
      <c r="AH38" s="59"/>
      <c r="AI38" s="57"/>
      <c r="AJ38" s="57"/>
      <c r="AK38" s="57"/>
      <c r="AL38" s="199"/>
      <c r="AM38" s="1"/>
      <c r="AN38" s="1"/>
      <c r="AO38" s="436"/>
      <c r="AP38" s="46"/>
      <c r="AQ38" s="53"/>
      <c r="AR38" s="59"/>
      <c r="AS38" s="59"/>
      <c r="AT38" s="59"/>
      <c r="AU38" s="59"/>
      <c r="AV38" s="59"/>
      <c r="AW38" s="59"/>
      <c r="AX38" s="59"/>
      <c r="AY38" s="59"/>
      <c r="AZ38" s="59"/>
      <c r="BA38" s="59"/>
      <c r="BB38" s="760"/>
    </row>
    <row r="39" spans="1:54" ht="12.75" customHeight="1">
      <c r="A39" s="7" t="s">
        <v>16</v>
      </c>
      <c r="B39" s="7"/>
      <c r="C39" s="87"/>
      <c r="D39" s="46"/>
      <c r="E39" s="591"/>
      <c r="F39" s="47"/>
      <c r="G39" s="47"/>
      <c r="H39" s="1"/>
      <c r="I39" s="417"/>
      <c r="J39" s="47"/>
      <c r="K39" s="47"/>
      <c r="L39" s="1"/>
      <c r="M39" s="417"/>
      <c r="N39" s="47"/>
      <c r="O39" s="47"/>
      <c r="P39" s="1"/>
      <c r="Q39" s="417"/>
      <c r="R39" s="47"/>
      <c r="S39" s="47"/>
      <c r="T39" s="1"/>
      <c r="U39" s="417"/>
      <c r="V39" s="47"/>
      <c r="W39" s="47"/>
      <c r="X39" s="1"/>
      <c r="Y39" s="417"/>
      <c r="Z39" s="47"/>
      <c r="AA39" s="47"/>
      <c r="AB39" s="1"/>
      <c r="AC39" s="417"/>
      <c r="AD39" s="55"/>
      <c r="AE39" s="55"/>
      <c r="AF39" s="55"/>
      <c r="AG39" s="55"/>
      <c r="AH39" s="59"/>
      <c r="AI39" s="57"/>
      <c r="AJ39" s="57"/>
      <c r="AK39" s="57"/>
      <c r="AL39" s="199"/>
      <c r="AM39" s="1"/>
      <c r="AN39" s="1"/>
      <c r="AO39" s="436"/>
      <c r="AP39" s="46"/>
      <c r="AQ39" s="53"/>
      <c r="AR39" s="59"/>
      <c r="AS39" s="59"/>
      <c r="AT39" s="59"/>
      <c r="AU39" s="59"/>
      <c r="AV39" s="59"/>
      <c r="AW39" s="59"/>
      <c r="AX39" s="59"/>
      <c r="AY39" s="59"/>
      <c r="AZ39" s="59"/>
      <c r="BA39" s="59"/>
      <c r="BB39" s="760"/>
    </row>
    <row r="40" spans="1:54" ht="12.75" customHeight="1">
      <c r="A40" s="8"/>
      <c r="B40" s="7" t="s">
        <v>17</v>
      </c>
      <c r="C40" s="87">
        <v>0.23000000000000043</v>
      </c>
      <c r="D40" s="41">
        <v>0.033973412112260036</v>
      </c>
      <c r="E40" s="591"/>
      <c r="F40" s="64"/>
      <c r="G40" s="64">
        <v>7</v>
      </c>
      <c r="H40" s="64">
        <v>7.06</v>
      </c>
      <c r="I40" s="681">
        <v>6.94</v>
      </c>
      <c r="J40" s="64">
        <v>7.93</v>
      </c>
      <c r="K40" s="64">
        <v>6.77</v>
      </c>
      <c r="L40" s="64">
        <v>6.45</v>
      </c>
      <c r="M40" s="681">
        <v>8.3</v>
      </c>
      <c r="N40" s="64">
        <v>9.44</v>
      </c>
      <c r="O40" s="64">
        <v>9.74</v>
      </c>
      <c r="P40" s="64">
        <v>13.05</v>
      </c>
      <c r="Q40" s="681">
        <v>15.31</v>
      </c>
      <c r="R40" s="64">
        <v>16.41</v>
      </c>
      <c r="S40" s="64">
        <v>14.42</v>
      </c>
      <c r="T40" s="64">
        <v>10.89</v>
      </c>
      <c r="U40" s="681">
        <v>11.48</v>
      </c>
      <c r="V40" s="64">
        <v>11.34</v>
      </c>
      <c r="W40" s="64">
        <v>11.87</v>
      </c>
      <c r="X40" s="64">
        <v>10.71</v>
      </c>
      <c r="Y40" s="681">
        <v>8.41</v>
      </c>
      <c r="Z40" s="64">
        <v>5.53</v>
      </c>
      <c r="AA40" s="64">
        <v>8.19</v>
      </c>
      <c r="AB40" s="64">
        <v>9.33</v>
      </c>
      <c r="AC40" s="681">
        <v>11.75</v>
      </c>
      <c r="AD40" s="1">
        <v>16.33</v>
      </c>
      <c r="AE40" s="64">
        <v>20.58</v>
      </c>
      <c r="AF40" s="65">
        <v>22.49</v>
      </c>
      <c r="AG40" s="64">
        <v>25.92</v>
      </c>
      <c r="AH40" s="489">
        <v>22.64</v>
      </c>
      <c r="AI40" s="66">
        <v>19.78</v>
      </c>
      <c r="AJ40" s="672">
        <v>20.6</v>
      </c>
      <c r="AK40" s="66">
        <v>27.5</v>
      </c>
      <c r="AL40" s="199"/>
      <c r="AM40" s="64">
        <v>7.06</v>
      </c>
      <c r="AN40" s="64">
        <v>8.3</v>
      </c>
      <c r="AO40" s="62">
        <v>-1.240000000000001</v>
      </c>
      <c r="AP40" s="46">
        <v>-0.1493975903614459</v>
      </c>
      <c r="AQ40" s="53"/>
      <c r="AR40" s="67">
        <v>8.3</v>
      </c>
      <c r="AS40" s="67">
        <v>15.31</v>
      </c>
      <c r="AT40" s="67">
        <v>16.41</v>
      </c>
      <c r="AU40" s="67">
        <v>11.87</v>
      </c>
      <c r="AV40" s="67">
        <v>11.75</v>
      </c>
      <c r="AW40" s="67">
        <v>25.92</v>
      </c>
      <c r="AX40" s="67">
        <v>27.5</v>
      </c>
      <c r="AY40" s="67">
        <v>21.25</v>
      </c>
      <c r="AZ40" s="67">
        <v>11.1</v>
      </c>
      <c r="BA40" s="67">
        <v>0</v>
      </c>
      <c r="BB40" s="760"/>
    </row>
    <row r="41" spans="1:54" ht="12.75" customHeight="1">
      <c r="A41" s="8"/>
      <c r="B41" s="7" t="s">
        <v>18</v>
      </c>
      <c r="C41" s="87">
        <v>1.1399999999999997</v>
      </c>
      <c r="D41" s="41">
        <v>0.24255319148936164</v>
      </c>
      <c r="E41" s="591"/>
      <c r="F41" s="64"/>
      <c r="G41" s="64">
        <v>5.84</v>
      </c>
      <c r="H41" s="64">
        <v>5.37</v>
      </c>
      <c r="I41" s="681">
        <v>5.05</v>
      </c>
      <c r="J41" s="64">
        <v>6.44</v>
      </c>
      <c r="K41" s="64">
        <v>4.7</v>
      </c>
      <c r="L41" s="64">
        <v>4.03</v>
      </c>
      <c r="M41" s="681">
        <v>4.91</v>
      </c>
      <c r="N41" s="64">
        <v>7.61</v>
      </c>
      <c r="O41" s="64">
        <v>6.94</v>
      </c>
      <c r="P41" s="64">
        <v>9.32</v>
      </c>
      <c r="Q41" s="681">
        <v>11.65</v>
      </c>
      <c r="R41" s="64">
        <v>13.03</v>
      </c>
      <c r="S41" s="64">
        <v>10.09</v>
      </c>
      <c r="T41" s="64">
        <v>8.77</v>
      </c>
      <c r="U41" s="681">
        <v>7.95</v>
      </c>
      <c r="V41" s="64">
        <v>8.27</v>
      </c>
      <c r="W41" s="64">
        <v>9.5</v>
      </c>
      <c r="X41" s="64">
        <v>6.7</v>
      </c>
      <c r="Y41" s="681">
        <v>5.3</v>
      </c>
      <c r="Z41" s="64">
        <v>3.5</v>
      </c>
      <c r="AA41" s="64">
        <v>2.87</v>
      </c>
      <c r="AB41" s="64">
        <v>6.68</v>
      </c>
      <c r="AC41" s="681">
        <v>7.6</v>
      </c>
      <c r="AD41" s="64">
        <v>8.6</v>
      </c>
      <c r="AE41" s="64">
        <v>13.3</v>
      </c>
      <c r="AF41" s="65">
        <v>16.25</v>
      </c>
      <c r="AG41" s="1">
        <v>20.22</v>
      </c>
      <c r="AH41" s="490">
        <v>16.7</v>
      </c>
      <c r="AI41" s="66">
        <v>15.8</v>
      </c>
      <c r="AJ41" s="672">
        <v>16.74</v>
      </c>
      <c r="AK41" s="68">
        <v>16.25</v>
      </c>
      <c r="AL41" s="199"/>
      <c r="AM41" s="64">
        <v>5.05</v>
      </c>
      <c r="AN41" s="64">
        <v>4.03</v>
      </c>
      <c r="AO41" s="62">
        <v>1.0199999999999996</v>
      </c>
      <c r="AP41" s="46">
        <v>0.2531017369727046</v>
      </c>
      <c r="AQ41" s="53"/>
      <c r="AR41" s="67">
        <v>4.03</v>
      </c>
      <c r="AS41" s="67">
        <v>6.94</v>
      </c>
      <c r="AT41" s="67">
        <v>7.95</v>
      </c>
      <c r="AU41" s="67">
        <v>5.3</v>
      </c>
      <c r="AV41" s="67">
        <v>2.87</v>
      </c>
      <c r="AW41" s="67">
        <v>8.6</v>
      </c>
      <c r="AX41" s="67">
        <v>15.8</v>
      </c>
      <c r="AY41" s="67">
        <v>9</v>
      </c>
      <c r="AZ41" s="67">
        <v>7.96</v>
      </c>
      <c r="BA41" s="67">
        <v>0</v>
      </c>
      <c r="BB41" s="760"/>
    </row>
    <row r="42" spans="1:54" ht="12.75" customHeight="1">
      <c r="A42" s="8"/>
      <c r="B42" s="7" t="s">
        <v>19</v>
      </c>
      <c r="C42" s="87">
        <v>0.25</v>
      </c>
      <c r="D42" s="41">
        <v>0.03731343283582089</v>
      </c>
      <c r="E42" s="591"/>
      <c r="F42" s="64"/>
      <c r="G42" s="64">
        <v>6.95</v>
      </c>
      <c r="H42" s="64">
        <v>6.63</v>
      </c>
      <c r="I42" s="681">
        <v>5.71</v>
      </c>
      <c r="J42" s="64">
        <v>6.82</v>
      </c>
      <c r="K42" s="64">
        <v>6.7</v>
      </c>
      <c r="L42" s="64">
        <v>5.68</v>
      </c>
      <c r="M42" s="681">
        <v>5.5</v>
      </c>
      <c r="N42" s="64">
        <v>8.3</v>
      </c>
      <c r="O42" s="64">
        <v>7.8</v>
      </c>
      <c r="P42" s="64">
        <v>9.55</v>
      </c>
      <c r="Q42" s="681">
        <v>12.36</v>
      </c>
      <c r="R42" s="64">
        <v>14</v>
      </c>
      <c r="S42" s="64">
        <v>14.16</v>
      </c>
      <c r="T42" s="64">
        <v>10.37</v>
      </c>
      <c r="U42" s="681">
        <v>9.39</v>
      </c>
      <c r="V42" s="64">
        <v>11.1</v>
      </c>
      <c r="W42" s="64">
        <v>10.37</v>
      </c>
      <c r="X42" s="64">
        <v>10.2</v>
      </c>
      <c r="Y42" s="681">
        <v>6.95</v>
      </c>
      <c r="Z42" s="64">
        <v>5.4</v>
      </c>
      <c r="AA42" s="64">
        <v>4.04</v>
      </c>
      <c r="AB42" s="64">
        <v>7.98</v>
      </c>
      <c r="AC42" s="681">
        <v>7.95</v>
      </c>
      <c r="AD42" s="64">
        <v>9.8</v>
      </c>
      <c r="AE42" s="64">
        <v>15.3</v>
      </c>
      <c r="AF42" s="65">
        <v>18.98</v>
      </c>
      <c r="AG42" s="1">
        <v>20.83</v>
      </c>
      <c r="AH42" s="489">
        <v>22.12</v>
      </c>
      <c r="AI42" s="66">
        <v>18.6</v>
      </c>
      <c r="AJ42" s="672">
        <v>17.1</v>
      </c>
      <c r="AK42" s="68">
        <v>17.72</v>
      </c>
      <c r="AL42" s="199"/>
      <c r="AM42" s="64">
        <v>6.95</v>
      </c>
      <c r="AN42" s="64">
        <v>6.7</v>
      </c>
      <c r="AO42" s="62">
        <v>0.25</v>
      </c>
      <c r="AP42" s="46">
        <v>0.03731343283582089</v>
      </c>
      <c r="AQ42" s="53"/>
      <c r="AR42" s="67">
        <v>6.82</v>
      </c>
      <c r="AS42" s="67">
        <v>8.3</v>
      </c>
      <c r="AT42" s="67">
        <v>14</v>
      </c>
      <c r="AU42" s="67">
        <v>11.1</v>
      </c>
      <c r="AV42" s="67">
        <v>5.4</v>
      </c>
      <c r="AW42" s="67">
        <v>9.8</v>
      </c>
      <c r="AX42" s="67">
        <v>22.12</v>
      </c>
      <c r="AY42" s="67">
        <v>20.8</v>
      </c>
      <c r="AZ42" s="67">
        <v>10.48</v>
      </c>
      <c r="BA42" s="67">
        <v>0</v>
      </c>
      <c r="BB42" s="760"/>
    </row>
    <row r="43" spans="1:54" ht="9.75" customHeight="1">
      <c r="A43" s="8"/>
      <c r="B43" s="7"/>
      <c r="C43" s="56"/>
      <c r="D43" s="46"/>
      <c r="E43" s="591"/>
      <c r="F43" s="47"/>
      <c r="G43" s="47"/>
      <c r="H43" s="1"/>
      <c r="I43" s="417"/>
      <c r="J43" s="47"/>
      <c r="K43" s="47"/>
      <c r="L43" s="1"/>
      <c r="M43" s="417"/>
      <c r="N43" s="47"/>
      <c r="O43" s="47"/>
      <c r="P43" s="1"/>
      <c r="Q43" s="417"/>
      <c r="R43" s="47"/>
      <c r="S43" s="47"/>
      <c r="T43" s="1"/>
      <c r="U43" s="417"/>
      <c r="V43" s="47"/>
      <c r="W43" s="47"/>
      <c r="X43" s="1"/>
      <c r="Y43" s="417"/>
      <c r="Z43" s="47"/>
      <c r="AA43" s="47"/>
      <c r="AB43" s="1"/>
      <c r="AC43" s="417"/>
      <c r="AD43" s="55"/>
      <c r="AE43" s="55"/>
      <c r="AF43" s="55"/>
      <c r="AG43" s="55"/>
      <c r="AH43" s="59"/>
      <c r="AI43" s="57"/>
      <c r="AJ43" s="57"/>
      <c r="AK43" s="57"/>
      <c r="AL43" s="199"/>
      <c r="AM43" s="1"/>
      <c r="AN43" s="1"/>
      <c r="AO43" s="55"/>
      <c r="AP43" s="46"/>
      <c r="AQ43" s="53"/>
      <c r="AR43" s="59"/>
      <c r="AS43" s="59"/>
      <c r="AT43" s="59"/>
      <c r="AU43" s="59"/>
      <c r="AV43" s="59"/>
      <c r="AW43" s="59"/>
      <c r="AX43" s="59"/>
      <c r="AY43" s="59"/>
      <c r="AZ43" s="59"/>
      <c r="BA43" s="59"/>
      <c r="BB43" s="760"/>
    </row>
    <row r="44" spans="1:54" ht="12.75" customHeight="1">
      <c r="A44" s="7" t="s">
        <v>20</v>
      </c>
      <c r="B44" s="7"/>
      <c r="C44" s="56"/>
      <c r="D44" s="46"/>
      <c r="E44" s="591"/>
      <c r="F44" s="47"/>
      <c r="G44" s="47"/>
      <c r="H44" s="1"/>
      <c r="I44" s="417"/>
      <c r="J44" s="47"/>
      <c r="K44" s="47"/>
      <c r="L44" s="1"/>
      <c r="M44" s="417"/>
      <c r="N44" s="47"/>
      <c r="O44" s="47"/>
      <c r="P44" s="1"/>
      <c r="Q44" s="417"/>
      <c r="R44" s="47"/>
      <c r="S44" s="47"/>
      <c r="T44" s="1"/>
      <c r="U44" s="417"/>
      <c r="V44" s="47"/>
      <c r="W44" s="47"/>
      <c r="X44" s="1"/>
      <c r="Y44" s="417"/>
      <c r="Z44" s="47"/>
      <c r="AA44" s="47"/>
      <c r="AB44" s="1"/>
      <c r="AC44" s="417"/>
      <c r="AD44" s="55"/>
      <c r="AE44" s="55"/>
      <c r="AF44" s="69"/>
      <c r="AG44" s="55"/>
      <c r="AH44" s="59"/>
      <c r="AI44" s="57"/>
      <c r="AJ44" s="437"/>
      <c r="AK44" s="57"/>
      <c r="AL44" s="199"/>
      <c r="AM44" s="1"/>
      <c r="AN44" s="1"/>
      <c r="AO44" s="55"/>
      <c r="AP44" s="46"/>
      <c r="AQ44" s="53"/>
      <c r="AR44" s="59"/>
      <c r="AS44" s="59"/>
      <c r="AT44" s="59"/>
      <c r="AU44" s="59"/>
      <c r="AV44" s="59"/>
      <c r="AW44" s="59"/>
      <c r="AX44" s="59"/>
      <c r="AY44" s="59"/>
      <c r="AZ44" s="59"/>
      <c r="BA44" s="59"/>
      <c r="BB44" s="760"/>
    </row>
    <row r="45" spans="1:54" s="1413" customFormat="1" ht="13.5" customHeight="1">
      <c r="A45" s="8"/>
      <c r="B45" s="7" t="s">
        <v>21</v>
      </c>
      <c r="C45" s="38">
        <v>390.2950000000128</v>
      </c>
      <c r="D45" s="41">
        <v>0.0042184172012722</v>
      </c>
      <c r="E45" s="592"/>
      <c r="F45" s="31"/>
      <c r="G45" s="31">
        <v>92911.964</v>
      </c>
      <c r="H45" s="31">
        <v>93951.272</v>
      </c>
      <c r="I45" s="28">
        <v>94935.752</v>
      </c>
      <c r="J45" s="31">
        <v>93061.796</v>
      </c>
      <c r="K45" s="31">
        <v>92521.669</v>
      </c>
      <c r="L45" s="31">
        <v>93991.129</v>
      </c>
      <c r="M45" s="28">
        <v>93566.31</v>
      </c>
      <c r="N45" s="31">
        <v>94025.877</v>
      </c>
      <c r="O45" s="31">
        <v>74998.99</v>
      </c>
      <c r="P45" s="31">
        <v>76232.324</v>
      </c>
      <c r="Q45" s="28">
        <v>75596.666</v>
      </c>
      <c r="R45" s="31">
        <v>75404</v>
      </c>
      <c r="S45" s="31">
        <v>75055</v>
      </c>
      <c r="T45" s="31">
        <v>74552</v>
      </c>
      <c r="U45" s="28">
        <v>74961.24</v>
      </c>
      <c r="V45" s="31">
        <v>48868</v>
      </c>
      <c r="W45" s="31">
        <v>48106</v>
      </c>
      <c r="X45" s="31">
        <v>48681</v>
      </c>
      <c r="Y45" s="28">
        <v>49118</v>
      </c>
      <c r="Z45" s="31">
        <v>49343</v>
      </c>
      <c r="AA45" s="31">
        <v>49108</v>
      </c>
      <c r="AB45" s="31">
        <v>48274</v>
      </c>
      <c r="AC45" s="28">
        <v>50069</v>
      </c>
      <c r="AD45" s="31">
        <v>43873</v>
      </c>
      <c r="AE45" s="31">
        <v>44191</v>
      </c>
      <c r="AF45" s="31">
        <v>44548</v>
      </c>
      <c r="AG45" s="31">
        <v>45183.714</v>
      </c>
      <c r="AH45" s="43">
        <v>45973.119</v>
      </c>
      <c r="AI45" s="28">
        <v>46320.542</v>
      </c>
      <c r="AJ45" s="28">
        <v>46199.726</v>
      </c>
      <c r="AK45" s="28">
        <v>45906.368</v>
      </c>
      <c r="AL45" s="86"/>
      <c r="AM45" s="31">
        <v>92911.964</v>
      </c>
      <c r="AN45" s="153">
        <v>92522</v>
      </c>
      <c r="AO45" s="31">
        <v>389.9640000000072</v>
      </c>
      <c r="AP45" s="30">
        <v>0.004214824582261594</v>
      </c>
      <c r="AQ45" s="35"/>
      <c r="AR45" s="43">
        <v>93061.796</v>
      </c>
      <c r="AS45" s="43">
        <v>94025.877</v>
      </c>
      <c r="AT45" s="43">
        <v>75404</v>
      </c>
      <c r="AU45" s="43">
        <v>48868</v>
      </c>
      <c r="AV45" s="43">
        <v>49343</v>
      </c>
      <c r="AW45" s="43">
        <v>43873</v>
      </c>
      <c r="AX45" s="43">
        <v>45973.119</v>
      </c>
      <c r="AY45" s="43">
        <v>45746.033</v>
      </c>
      <c r="AZ45" s="43">
        <v>45413.311</v>
      </c>
      <c r="BA45" s="43">
        <v>29983</v>
      </c>
      <c r="BB45" s="1412"/>
    </row>
    <row r="46" spans="1:54" s="1413" customFormat="1" ht="13.5" customHeight="1">
      <c r="A46" s="8"/>
      <c r="B46" s="7" t="s">
        <v>22</v>
      </c>
      <c r="C46" s="38">
        <v>-693.8759999999893</v>
      </c>
      <c r="D46" s="41">
        <v>-0.00676867556961184</v>
      </c>
      <c r="E46" s="592"/>
      <c r="F46" s="31"/>
      <c r="G46" s="31">
        <v>101818.941</v>
      </c>
      <c r="H46" s="31">
        <v>102519.742</v>
      </c>
      <c r="I46" s="28">
        <v>103570.194</v>
      </c>
      <c r="J46" s="31">
        <v>102896.172</v>
      </c>
      <c r="K46" s="31">
        <v>102512.817</v>
      </c>
      <c r="L46" s="31">
        <v>102381.448</v>
      </c>
      <c r="M46" s="28">
        <v>102030.601</v>
      </c>
      <c r="N46" s="31">
        <v>101688.721</v>
      </c>
      <c r="O46" s="31">
        <v>83412.456</v>
      </c>
      <c r="P46" s="31">
        <v>83321.696</v>
      </c>
      <c r="Q46" s="28">
        <v>83097.441</v>
      </c>
      <c r="R46" s="31">
        <v>82810</v>
      </c>
      <c r="S46" s="31">
        <v>82626</v>
      </c>
      <c r="T46" s="31">
        <v>82553</v>
      </c>
      <c r="U46" s="28">
        <v>82307.93</v>
      </c>
      <c r="V46" s="31">
        <v>55571</v>
      </c>
      <c r="W46" s="31">
        <v>55405</v>
      </c>
      <c r="X46" s="31">
        <v>55359</v>
      </c>
      <c r="Y46" s="28">
        <v>55234</v>
      </c>
      <c r="Z46" s="31">
        <v>55093</v>
      </c>
      <c r="AA46" s="31">
        <v>54636</v>
      </c>
      <c r="AB46" s="31">
        <v>54553</v>
      </c>
      <c r="AC46" s="28">
        <v>54591</v>
      </c>
      <c r="AD46" s="31">
        <v>47835</v>
      </c>
      <c r="AE46" s="31">
        <v>47835</v>
      </c>
      <c r="AF46" s="31">
        <v>47866</v>
      </c>
      <c r="AG46" s="31">
        <v>47864.234</v>
      </c>
      <c r="AH46" s="43">
        <v>47831.961</v>
      </c>
      <c r="AI46" s="28">
        <v>47831.203</v>
      </c>
      <c r="AJ46" s="28">
        <v>47827.35</v>
      </c>
      <c r="AK46" s="28">
        <v>47827.35</v>
      </c>
      <c r="AL46" s="86"/>
      <c r="AM46" s="31">
        <v>101818.941</v>
      </c>
      <c r="AN46" s="153">
        <v>102513</v>
      </c>
      <c r="AO46" s="31">
        <v>-695.0589999999938</v>
      </c>
      <c r="AP46" s="30">
        <v>-0.0067802034863870325</v>
      </c>
      <c r="AQ46" s="35"/>
      <c r="AR46" s="43">
        <v>102896.172</v>
      </c>
      <c r="AS46" s="43">
        <v>101688.721</v>
      </c>
      <c r="AT46" s="43">
        <v>82810</v>
      </c>
      <c r="AU46" s="43">
        <v>55571</v>
      </c>
      <c r="AV46" s="43">
        <v>55093</v>
      </c>
      <c r="AW46" s="43">
        <v>47835</v>
      </c>
      <c r="AX46" s="43">
        <v>47831.961</v>
      </c>
      <c r="AY46" s="43">
        <v>47827.35</v>
      </c>
      <c r="AZ46" s="43">
        <v>46129.268</v>
      </c>
      <c r="BA46" s="43">
        <v>38089</v>
      </c>
      <c r="BB46" s="1412"/>
    </row>
    <row r="47" spans="1:54" s="1413" customFormat="1" ht="13.5" customHeight="1">
      <c r="A47" s="8"/>
      <c r="B47" s="7" t="s">
        <v>23</v>
      </c>
      <c r="C47" s="38">
        <v>-2559.4400000000023</v>
      </c>
      <c r="D47" s="41">
        <v>-0.023064476487010554</v>
      </c>
      <c r="E47" s="592"/>
      <c r="F47" s="31"/>
      <c r="G47" s="31">
        <v>108409.478</v>
      </c>
      <c r="H47" s="31">
        <v>109603.592</v>
      </c>
      <c r="I47" s="28">
        <v>109667.482</v>
      </c>
      <c r="J47" s="31">
        <v>109882.489</v>
      </c>
      <c r="K47" s="31">
        <v>110968.918</v>
      </c>
      <c r="L47" s="31">
        <v>108789.119</v>
      </c>
      <c r="M47" s="28">
        <v>107853.796</v>
      </c>
      <c r="N47" s="31">
        <v>106656.028</v>
      </c>
      <c r="O47" s="31">
        <v>86787.169</v>
      </c>
      <c r="P47" s="31">
        <v>85979.111</v>
      </c>
      <c r="Q47" s="28">
        <v>86236</v>
      </c>
      <c r="R47" s="31">
        <v>86080.048</v>
      </c>
      <c r="S47" s="31">
        <v>85938.028</v>
      </c>
      <c r="T47" s="31">
        <v>84565</v>
      </c>
      <c r="U47" s="28">
        <v>85357.03</v>
      </c>
      <c r="V47" s="31">
        <v>57814</v>
      </c>
      <c r="W47" s="31">
        <v>57267</v>
      </c>
      <c r="X47" s="31">
        <v>57226</v>
      </c>
      <c r="Y47" s="28">
        <v>57245</v>
      </c>
      <c r="Z47" s="31">
        <v>57251</v>
      </c>
      <c r="AA47" s="31">
        <v>56210</v>
      </c>
      <c r="AB47" s="31">
        <v>57981</v>
      </c>
      <c r="AC47" s="28">
        <v>57466</v>
      </c>
      <c r="AD47" s="31">
        <v>49556</v>
      </c>
      <c r="AE47" s="31">
        <v>49096</v>
      </c>
      <c r="AF47" s="31">
        <v>48830</v>
      </c>
      <c r="AG47" s="31">
        <v>48872.327</v>
      </c>
      <c r="AH47" s="43">
        <v>48084.304</v>
      </c>
      <c r="AI47" s="28">
        <v>48045.762</v>
      </c>
      <c r="AJ47" s="28">
        <v>47962</v>
      </c>
      <c r="AK47" s="28">
        <v>47950.568</v>
      </c>
      <c r="AL47" s="86"/>
      <c r="AM47" s="31">
        <v>108409.478</v>
      </c>
      <c r="AN47" s="153">
        <v>110968.918</v>
      </c>
      <c r="AO47" s="31">
        <v>-2559.4400000000023</v>
      </c>
      <c r="AP47" s="30">
        <v>-0.023074209914480597</v>
      </c>
      <c r="AQ47" s="35"/>
      <c r="AR47" s="43">
        <v>109879.724</v>
      </c>
      <c r="AS47" s="43">
        <v>106883.242</v>
      </c>
      <c r="AT47" s="43">
        <v>85655</v>
      </c>
      <c r="AU47" s="43">
        <v>57767</v>
      </c>
      <c r="AV47" s="43">
        <v>57251</v>
      </c>
      <c r="AW47" s="43">
        <v>49556</v>
      </c>
      <c r="AX47" s="43">
        <v>48084.304</v>
      </c>
      <c r="AY47" s="43">
        <v>48017.401</v>
      </c>
      <c r="AZ47" s="43">
        <v>46129.268</v>
      </c>
      <c r="BA47" s="43">
        <v>38089</v>
      </c>
      <c r="BB47" s="1412"/>
    </row>
    <row r="48" spans="1:54" s="1413" customFormat="1" ht="13.5" customHeight="1">
      <c r="A48" s="8"/>
      <c r="B48" s="7" t="s">
        <v>24</v>
      </c>
      <c r="C48" s="38">
        <v>1101.326000000001</v>
      </c>
      <c r="D48" s="41">
        <v>0.011936154903074174</v>
      </c>
      <c r="E48" s="592"/>
      <c r="F48" s="31"/>
      <c r="G48" s="31">
        <v>93369.398</v>
      </c>
      <c r="H48" s="31">
        <v>94485.745</v>
      </c>
      <c r="I48" s="28">
        <v>94524.19</v>
      </c>
      <c r="J48" s="31">
        <v>92662.738</v>
      </c>
      <c r="K48" s="31">
        <v>92268.072</v>
      </c>
      <c r="L48" s="31">
        <v>93715.829</v>
      </c>
      <c r="M48" s="28">
        <v>94145.084</v>
      </c>
      <c r="N48" s="31">
        <v>77829.904</v>
      </c>
      <c r="O48" s="31">
        <v>75220.878</v>
      </c>
      <c r="P48" s="31">
        <v>76073.22</v>
      </c>
      <c r="Q48" s="28">
        <v>75086.958</v>
      </c>
      <c r="R48" s="31">
        <v>75194.374</v>
      </c>
      <c r="S48" s="31">
        <v>74947</v>
      </c>
      <c r="T48" s="31">
        <v>74235</v>
      </c>
      <c r="U48" s="28">
        <v>67930.712</v>
      </c>
      <c r="V48" s="31">
        <v>48697</v>
      </c>
      <c r="W48" s="31">
        <v>48147</v>
      </c>
      <c r="X48" s="31">
        <v>48536</v>
      </c>
      <c r="Y48" s="28">
        <v>48165</v>
      </c>
      <c r="Z48" s="31">
        <v>49352</v>
      </c>
      <c r="AA48" s="31">
        <v>49073</v>
      </c>
      <c r="AB48" s="31">
        <v>49021</v>
      </c>
      <c r="AC48" s="28">
        <v>47519</v>
      </c>
      <c r="AD48" s="31">
        <v>44165</v>
      </c>
      <c r="AE48" s="31">
        <v>44442</v>
      </c>
      <c r="AF48" s="31">
        <v>44972</v>
      </c>
      <c r="AG48" s="31">
        <v>45170.532</v>
      </c>
      <c r="AH48" s="43">
        <v>45970.574</v>
      </c>
      <c r="AI48" s="28">
        <v>46273.768</v>
      </c>
      <c r="AJ48" s="28">
        <v>46152.802</v>
      </c>
      <c r="AK48" s="28">
        <v>45906.368</v>
      </c>
      <c r="AL48" s="86"/>
      <c r="AM48" s="31">
        <v>93863.278</v>
      </c>
      <c r="AN48" s="153">
        <v>92040</v>
      </c>
      <c r="AO48" s="31">
        <v>1823.2780000000057</v>
      </c>
      <c r="AP48" s="30">
        <v>0.01980962624945682</v>
      </c>
      <c r="AQ48" s="35"/>
      <c r="AR48" s="43">
        <v>92217.726</v>
      </c>
      <c r="AS48" s="43">
        <v>76715.248</v>
      </c>
      <c r="AT48" s="43">
        <v>72989.655</v>
      </c>
      <c r="AU48" s="43">
        <v>48698</v>
      </c>
      <c r="AV48" s="43">
        <v>48929</v>
      </c>
      <c r="AW48" s="43">
        <v>44778</v>
      </c>
      <c r="AX48" s="43">
        <v>45969.346</v>
      </c>
      <c r="AY48" s="43">
        <v>44606.134</v>
      </c>
      <c r="AZ48" s="43">
        <v>41634.92</v>
      </c>
      <c r="BA48" s="43">
        <v>28298</v>
      </c>
      <c r="BB48" s="1412"/>
    </row>
    <row r="49" spans="1:54" s="1413" customFormat="1" ht="13.5" customHeight="1">
      <c r="A49" s="8"/>
      <c r="B49" s="7" t="s">
        <v>323</v>
      </c>
      <c r="C49" s="38">
        <v>213.03199999999197</v>
      </c>
      <c r="D49" s="41">
        <v>0.002079286958163622</v>
      </c>
      <c r="E49" s="592"/>
      <c r="F49" s="31"/>
      <c r="G49" s="31">
        <v>102667.385</v>
      </c>
      <c r="H49" s="31">
        <v>103387.359</v>
      </c>
      <c r="I49" s="28">
        <v>102769.922</v>
      </c>
      <c r="J49" s="31">
        <v>103045.021</v>
      </c>
      <c r="K49" s="31">
        <v>102454.353</v>
      </c>
      <c r="L49" s="31">
        <v>102235.457</v>
      </c>
      <c r="M49" s="28">
        <v>101989.983</v>
      </c>
      <c r="N49" s="31">
        <v>85568.131</v>
      </c>
      <c r="O49" s="31">
        <v>83821.7</v>
      </c>
      <c r="P49" s="31">
        <v>83922</v>
      </c>
      <c r="Q49" s="28">
        <v>84283</v>
      </c>
      <c r="R49" s="31">
        <v>84571</v>
      </c>
      <c r="S49" s="31">
        <v>83643</v>
      </c>
      <c r="T49" s="31">
        <v>82976</v>
      </c>
      <c r="U49" s="28">
        <v>76217.24</v>
      </c>
      <c r="V49" s="31">
        <v>56052</v>
      </c>
      <c r="W49" s="31">
        <v>56274</v>
      </c>
      <c r="X49" s="31">
        <v>55590</v>
      </c>
      <c r="Y49" s="28">
        <v>55331</v>
      </c>
      <c r="Z49" s="31">
        <v>54748</v>
      </c>
      <c r="AA49" s="31">
        <v>55219</v>
      </c>
      <c r="AB49" s="31">
        <v>55139</v>
      </c>
      <c r="AC49" s="28">
        <v>52720</v>
      </c>
      <c r="AD49" s="31">
        <v>48490</v>
      </c>
      <c r="AE49" s="31">
        <v>48324</v>
      </c>
      <c r="AF49" s="31">
        <v>48270</v>
      </c>
      <c r="AG49" s="31">
        <v>48859.145</v>
      </c>
      <c r="AH49" s="43">
        <v>48081.759</v>
      </c>
      <c r="AI49" s="28">
        <v>48045.762</v>
      </c>
      <c r="AJ49" s="28">
        <v>47961.594</v>
      </c>
      <c r="AK49" s="28">
        <v>47998.175</v>
      </c>
      <c r="AL49" s="86"/>
      <c r="AM49" s="31">
        <v>103192.653</v>
      </c>
      <c r="AN49" s="153">
        <v>102226</v>
      </c>
      <c r="AO49" s="31">
        <v>966.6530000000057</v>
      </c>
      <c r="AP49" s="30">
        <v>0.009456038581182925</v>
      </c>
      <c r="AQ49" s="35"/>
      <c r="AR49" s="43">
        <v>102402.082</v>
      </c>
      <c r="AS49" s="43">
        <v>84682.497</v>
      </c>
      <c r="AT49" s="43">
        <v>81716.618</v>
      </c>
      <c r="AU49" s="43">
        <v>55662</v>
      </c>
      <c r="AV49" s="43">
        <v>54189</v>
      </c>
      <c r="AW49" s="43">
        <v>48727</v>
      </c>
      <c r="AX49" s="43">
        <v>48080.531</v>
      </c>
      <c r="AY49" s="43">
        <v>46699.304</v>
      </c>
      <c r="AZ49" s="43">
        <v>44188.297</v>
      </c>
      <c r="BA49" s="43">
        <v>37096</v>
      </c>
      <c r="BB49" s="1412"/>
    </row>
    <row r="50" spans="1:54" ht="9.75" customHeight="1">
      <c r="A50" s="8"/>
      <c r="B50" s="7"/>
      <c r="C50" s="56"/>
      <c r="D50" s="46"/>
      <c r="E50" s="591"/>
      <c r="F50" s="47"/>
      <c r="G50" s="47"/>
      <c r="H50" s="1"/>
      <c r="I50" s="417"/>
      <c r="J50" s="47"/>
      <c r="K50" s="47"/>
      <c r="L50" s="1"/>
      <c r="M50" s="417"/>
      <c r="N50" s="47"/>
      <c r="O50" s="47"/>
      <c r="P50" s="1"/>
      <c r="Q50" s="417"/>
      <c r="R50" s="47"/>
      <c r="S50" s="47"/>
      <c r="T50" s="1"/>
      <c r="U50" s="417"/>
      <c r="V50" s="47"/>
      <c r="W50" s="47"/>
      <c r="X50" s="1"/>
      <c r="Y50" s="417"/>
      <c r="Z50" s="47"/>
      <c r="AA50" s="47"/>
      <c r="AB50" s="1"/>
      <c r="AC50" s="417"/>
      <c r="AD50" s="1"/>
      <c r="AE50" s="1"/>
      <c r="AF50" s="1"/>
      <c r="AG50" s="1"/>
      <c r="AH50" s="489"/>
      <c r="AI50" s="68"/>
      <c r="AJ50" s="68"/>
      <c r="AK50" s="68"/>
      <c r="AL50" s="199"/>
      <c r="AM50" s="1"/>
      <c r="AN50" s="1"/>
      <c r="AO50" s="55"/>
      <c r="AP50" s="46"/>
      <c r="AQ50" s="53"/>
      <c r="AR50" s="59"/>
      <c r="AS50" s="59"/>
      <c r="AT50" s="59"/>
      <c r="AU50" s="59"/>
      <c r="AV50" s="59"/>
      <c r="AW50" s="59"/>
      <c r="AX50" s="59"/>
      <c r="AY50" s="59"/>
      <c r="AZ50" s="59"/>
      <c r="BA50" s="59"/>
      <c r="BB50" s="760"/>
    </row>
    <row r="51" spans="1:54" ht="12.75" customHeight="1">
      <c r="A51" s="7" t="s">
        <v>354</v>
      </c>
      <c r="B51" s="7"/>
      <c r="C51" s="56">
        <v>9954.121500000008</v>
      </c>
      <c r="D51" s="41">
        <v>0.013388341554518934</v>
      </c>
      <c r="E51" s="591"/>
      <c r="F51" s="70"/>
      <c r="G51" s="70">
        <v>753445.8721</v>
      </c>
      <c r="H51" s="70">
        <v>726671.81496</v>
      </c>
      <c r="I51" s="71">
        <v>626201.32222</v>
      </c>
      <c r="J51" s="70">
        <v>749398.57498</v>
      </c>
      <c r="K51" s="70">
        <v>743491.7506</v>
      </c>
      <c r="L51" s="70">
        <v>617922.19592</v>
      </c>
      <c r="M51" s="71">
        <v>593195.878</v>
      </c>
      <c r="N51" s="70">
        <v>885245.0324000001</v>
      </c>
      <c r="O51" s="70">
        <v>676939.9182</v>
      </c>
      <c r="P51" s="70">
        <v>821100.5100500002</v>
      </c>
      <c r="Q51" s="71">
        <v>1065876.96</v>
      </c>
      <c r="R51" s="70">
        <v>1205120.672</v>
      </c>
      <c r="S51" s="70">
        <v>1216882.47648</v>
      </c>
      <c r="T51" s="70">
        <v>876939.0499999999</v>
      </c>
      <c r="U51" s="71">
        <v>801502.5117</v>
      </c>
      <c r="V51" s="70">
        <v>641735.4</v>
      </c>
      <c r="W51" s="70">
        <v>593858.79</v>
      </c>
      <c r="X51" s="70">
        <v>583705.2</v>
      </c>
      <c r="Y51" s="71">
        <v>397852.75</v>
      </c>
      <c r="Z51" s="70">
        <v>309155.4</v>
      </c>
      <c r="AA51" s="70">
        <v>227088.4</v>
      </c>
      <c r="AB51" s="70">
        <v>462688.38</v>
      </c>
      <c r="AC51" s="71">
        <v>456854.7</v>
      </c>
      <c r="AD51" s="70">
        <v>485648.8</v>
      </c>
      <c r="AE51" s="70">
        <v>751168.8</v>
      </c>
      <c r="AF51" s="70">
        <v>926793.4</v>
      </c>
      <c r="AG51" s="70">
        <v>1018010.5714099999</v>
      </c>
      <c r="AH51" s="72">
        <v>1063624.80448</v>
      </c>
      <c r="AI51" s="71">
        <v>893651.1732000001</v>
      </c>
      <c r="AJ51" s="71">
        <v>820150</v>
      </c>
      <c r="AK51" s="71">
        <v>849684.06496</v>
      </c>
      <c r="AL51" s="199"/>
      <c r="AM51" s="854">
        <v>753445.8721</v>
      </c>
      <c r="AN51" s="854">
        <v>743491.7506</v>
      </c>
      <c r="AO51" s="55">
        <v>9954.121500000008</v>
      </c>
      <c r="AP51" s="46">
        <v>0.013388341554518934</v>
      </c>
      <c r="AQ51" s="53"/>
      <c r="AR51" s="59">
        <v>749379.71768</v>
      </c>
      <c r="AS51" s="59">
        <v>887130.9086000001</v>
      </c>
      <c r="AT51" s="59">
        <v>1199170</v>
      </c>
      <c r="AU51" s="59">
        <v>640259.1</v>
      </c>
      <c r="AV51" s="59">
        <v>309155.4</v>
      </c>
      <c r="AW51" s="59">
        <v>485648.8</v>
      </c>
      <c r="AX51" s="72">
        <v>1063624.80448</v>
      </c>
      <c r="AY51" s="72">
        <v>998761.9408</v>
      </c>
      <c r="AZ51" s="72">
        <v>483434.72864</v>
      </c>
      <c r="BA51" s="72" t="s">
        <v>44</v>
      </c>
      <c r="BB51" s="760"/>
    </row>
    <row r="52" spans="1:54" ht="9.75" customHeight="1">
      <c r="A52" s="8"/>
      <c r="B52" s="7"/>
      <c r="C52" s="56"/>
      <c r="D52" s="46"/>
      <c r="E52" s="591"/>
      <c r="F52" s="47"/>
      <c r="G52" s="47"/>
      <c r="H52" s="1"/>
      <c r="I52" s="417"/>
      <c r="J52" s="47"/>
      <c r="K52" s="47"/>
      <c r="L52" s="1"/>
      <c r="M52" s="417"/>
      <c r="N52" s="47"/>
      <c r="O52" s="47"/>
      <c r="P52" s="1"/>
      <c r="Q52" s="417"/>
      <c r="R52" s="47"/>
      <c r="S52" s="47"/>
      <c r="T52" s="1"/>
      <c r="U52" s="417"/>
      <c r="V52" s="47"/>
      <c r="W52" s="47"/>
      <c r="X52" s="1"/>
      <c r="Y52" s="417"/>
      <c r="Z52" s="47"/>
      <c r="AA52" s="47"/>
      <c r="AB52" s="1"/>
      <c r="AC52" s="417"/>
      <c r="AD52" s="73"/>
      <c r="AE52" s="73"/>
      <c r="AF52" s="73"/>
      <c r="AG52" s="73"/>
      <c r="AH52" s="75"/>
      <c r="AI52" s="438"/>
      <c r="AJ52" s="438"/>
      <c r="AK52" s="74"/>
      <c r="AL52" s="199"/>
      <c r="AM52" s="1"/>
      <c r="AN52" s="1"/>
      <c r="AO52" s="73"/>
      <c r="AP52" s="79"/>
      <c r="AQ52" s="53"/>
      <c r="AR52" s="75"/>
      <c r="AS52" s="75"/>
      <c r="AT52" s="75"/>
      <c r="AU52" s="75"/>
      <c r="AV52" s="75"/>
      <c r="AW52" s="75"/>
      <c r="AX52" s="75"/>
      <c r="AY52" s="75"/>
      <c r="AZ52" s="75"/>
      <c r="BA52" s="75"/>
      <c r="BB52" s="760"/>
    </row>
    <row r="53" spans="1:54" ht="12" customHeight="1">
      <c r="A53" s="142" t="s">
        <v>305</v>
      </c>
      <c r="B53" s="7"/>
      <c r="C53" s="56"/>
      <c r="D53" s="46"/>
      <c r="E53" s="591"/>
      <c r="F53" s="47"/>
      <c r="G53" s="47"/>
      <c r="H53" s="1"/>
      <c r="I53" s="417"/>
      <c r="J53" s="47"/>
      <c r="K53" s="47"/>
      <c r="L53" s="1"/>
      <c r="M53" s="417"/>
      <c r="N53" s="47"/>
      <c r="O53" s="47"/>
      <c r="P53" s="1"/>
      <c r="Q53" s="417"/>
      <c r="R53" s="47"/>
      <c r="S53" s="47"/>
      <c r="T53" s="1"/>
      <c r="U53" s="417"/>
      <c r="V53" s="47"/>
      <c r="W53" s="47"/>
      <c r="X53" s="1"/>
      <c r="Y53" s="417"/>
      <c r="Z53" s="47"/>
      <c r="AA53" s="47"/>
      <c r="AB53" s="1"/>
      <c r="AC53" s="417"/>
      <c r="AD53" s="73"/>
      <c r="AE53" s="73"/>
      <c r="AF53" s="73"/>
      <c r="AG53" s="73"/>
      <c r="AH53" s="75"/>
      <c r="AI53" s="438"/>
      <c r="AJ53" s="438"/>
      <c r="AK53" s="74"/>
      <c r="AL53" s="199"/>
      <c r="AM53" s="1"/>
      <c r="AN53" s="1"/>
      <c r="AO53" s="73"/>
      <c r="AP53" s="79"/>
      <c r="AQ53" s="53"/>
      <c r="AR53" s="75"/>
      <c r="AS53" s="75"/>
      <c r="AT53" s="75"/>
      <c r="AU53" s="75"/>
      <c r="AV53" s="75"/>
      <c r="AW53" s="75"/>
      <c r="AX53" s="75"/>
      <c r="AY53" s="75"/>
      <c r="AZ53" s="75"/>
      <c r="BA53" s="75"/>
      <c r="BB53" s="760"/>
    </row>
    <row r="54" spans="1:54" ht="12" customHeight="1">
      <c r="A54" s="8"/>
      <c r="B54" s="7" t="s">
        <v>292</v>
      </c>
      <c r="C54" s="56">
        <v>0</v>
      </c>
      <c r="D54" s="41">
        <v>0</v>
      </c>
      <c r="E54" s="591"/>
      <c r="F54" s="775"/>
      <c r="G54" s="743">
        <v>8540</v>
      </c>
      <c r="H54" s="743">
        <v>8540</v>
      </c>
      <c r="I54" s="877">
        <v>8540</v>
      </c>
      <c r="J54" s="775">
        <v>8540</v>
      </c>
      <c r="K54" s="743">
        <v>8540</v>
      </c>
      <c r="L54" s="743">
        <v>8540</v>
      </c>
      <c r="M54" s="877">
        <v>8540</v>
      </c>
      <c r="N54" s="775">
        <v>4540</v>
      </c>
      <c r="O54" s="743">
        <v>4540</v>
      </c>
      <c r="P54" s="743">
        <v>4540</v>
      </c>
      <c r="Q54" s="877">
        <v>4000</v>
      </c>
      <c r="R54" s="573" t="s">
        <v>214</v>
      </c>
      <c r="S54" s="684" t="s">
        <v>214</v>
      </c>
      <c r="T54" s="682" t="s">
        <v>214</v>
      </c>
      <c r="U54" s="878" t="s">
        <v>214</v>
      </c>
      <c r="V54" s="684" t="s">
        <v>214</v>
      </c>
      <c r="W54" s="684" t="s">
        <v>214</v>
      </c>
      <c r="X54" s="682" t="s">
        <v>214</v>
      </c>
      <c r="Y54" s="878" t="s">
        <v>214</v>
      </c>
      <c r="Z54" s="684" t="s">
        <v>214</v>
      </c>
      <c r="AA54" s="684" t="s">
        <v>214</v>
      </c>
      <c r="AB54" s="682" t="s">
        <v>214</v>
      </c>
      <c r="AC54" s="878" t="s">
        <v>214</v>
      </c>
      <c r="AD54" s="685" t="s">
        <v>214</v>
      </c>
      <c r="AE54" s="685" t="s">
        <v>214</v>
      </c>
      <c r="AF54" s="685" t="s">
        <v>214</v>
      </c>
      <c r="AG54" s="685" t="s">
        <v>214</v>
      </c>
      <c r="AH54" s="686" t="s">
        <v>214</v>
      </c>
      <c r="AI54" s="687" t="s">
        <v>214</v>
      </c>
      <c r="AJ54" s="687" t="s">
        <v>214</v>
      </c>
      <c r="AK54" s="688" t="s">
        <v>214</v>
      </c>
      <c r="AL54" s="604"/>
      <c r="AM54" s="743">
        <v>8540</v>
      </c>
      <c r="AN54" s="743">
        <v>8540</v>
      </c>
      <c r="AO54" s="55">
        <v>0</v>
      </c>
      <c r="AP54" s="46">
        <v>0</v>
      </c>
      <c r="AQ54" s="684"/>
      <c r="AR54" s="776">
        <v>8540</v>
      </c>
      <c r="AS54" s="776">
        <v>4540</v>
      </c>
      <c r="AT54" s="686" t="s">
        <v>214</v>
      </c>
      <c r="AU54" s="686" t="s">
        <v>214</v>
      </c>
      <c r="AV54" s="686" t="s">
        <v>214</v>
      </c>
      <c r="AW54" s="686" t="s">
        <v>214</v>
      </c>
      <c r="AX54" s="686" t="s">
        <v>214</v>
      </c>
      <c r="AY54" s="75"/>
      <c r="AZ54" s="75"/>
      <c r="BA54" s="75"/>
      <c r="BB54" s="760"/>
    </row>
    <row r="55" spans="1:54" ht="9.75" customHeight="1">
      <c r="A55" s="8"/>
      <c r="B55" s="7"/>
      <c r="C55" s="56"/>
      <c r="D55" s="46"/>
      <c r="E55" s="591"/>
      <c r="F55" s="47"/>
      <c r="G55" s="47"/>
      <c r="H55" s="1"/>
      <c r="I55" s="417"/>
      <c r="J55" s="47"/>
      <c r="K55" s="47"/>
      <c r="L55" s="1"/>
      <c r="M55" s="417"/>
      <c r="N55" s="47"/>
      <c r="O55" s="47"/>
      <c r="P55" s="1"/>
      <c r="Q55" s="417"/>
      <c r="R55" s="47"/>
      <c r="S55" s="47"/>
      <c r="T55" s="1"/>
      <c r="U55" s="417"/>
      <c r="V55" s="47"/>
      <c r="W55" s="47"/>
      <c r="X55" s="1"/>
      <c r="Y55" s="417"/>
      <c r="Z55" s="47"/>
      <c r="AA55" s="47"/>
      <c r="AB55" s="1"/>
      <c r="AC55" s="417"/>
      <c r="AD55" s="73"/>
      <c r="AE55" s="73"/>
      <c r="AF55" s="73"/>
      <c r="AG55" s="73"/>
      <c r="AH55" s="75"/>
      <c r="AI55" s="438"/>
      <c r="AJ55" s="438"/>
      <c r="AK55" s="74"/>
      <c r="AL55" s="199"/>
      <c r="AM55" s="1"/>
      <c r="AN55" s="1"/>
      <c r="AO55" s="73"/>
      <c r="AP55" s="79"/>
      <c r="AQ55" s="53"/>
      <c r="AR55" s="75"/>
      <c r="AS55" s="75"/>
      <c r="AT55" s="75"/>
      <c r="AU55" s="75"/>
      <c r="AV55" s="75"/>
      <c r="AW55" s="75"/>
      <c r="AX55" s="75"/>
      <c r="AY55" s="75"/>
      <c r="AZ55" s="75"/>
      <c r="BA55" s="75"/>
      <c r="BB55" s="760"/>
    </row>
    <row r="56" spans="1:54" ht="12.75" customHeight="1">
      <c r="A56" s="142" t="s">
        <v>25</v>
      </c>
      <c r="B56" s="7"/>
      <c r="C56" s="56"/>
      <c r="D56" s="46"/>
      <c r="E56" s="591"/>
      <c r="F56" s="47"/>
      <c r="G56" s="47"/>
      <c r="H56" s="7"/>
      <c r="I56" s="479"/>
      <c r="J56" s="41"/>
      <c r="K56" s="41"/>
      <c r="L56" s="7"/>
      <c r="M56" s="479"/>
      <c r="N56" s="41"/>
      <c r="O56" s="41"/>
      <c r="P56" s="7"/>
      <c r="Q56" s="479"/>
      <c r="R56" s="41"/>
      <c r="S56" s="41"/>
      <c r="T56" s="7"/>
      <c r="U56" s="479"/>
      <c r="V56" s="41"/>
      <c r="W56" s="41"/>
      <c r="X56" s="7"/>
      <c r="Y56" s="479"/>
      <c r="Z56" s="41"/>
      <c r="AA56" s="41"/>
      <c r="AB56" s="7"/>
      <c r="AC56" s="479"/>
      <c r="AD56" s="1387"/>
      <c r="AE56" s="191"/>
      <c r="AF56" s="191"/>
      <c r="AG56" s="191"/>
      <c r="AH56" s="1388"/>
      <c r="AI56" s="1389"/>
      <c r="AJ56" s="1389"/>
      <c r="AK56" s="1390"/>
      <c r="AL56" s="86"/>
      <c r="AM56" s="7"/>
      <c r="AN56" s="1"/>
      <c r="AO56" s="73"/>
      <c r="AP56" s="79"/>
      <c r="AQ56" s="53"/>
      <c r="AR56" s="75"/>
      <c r="AS56" s="75"/>
      <c r="AT56" s="75"/>
      <c r="AU56" s="75"/>
      <c r="AV56" s="75"/>
      <c r="AW56" s="75"/>
      <c r="AX56" s="75"/>
      <c r="AY56" s="75" t="s">
        <v>46</v>
      </c>
      <c r="AZ56" s="75"/>
      <c r="BA56" s="75"/>
      <c r="BB56" s="760"/>
    </row>
    <row r="57" spans="1:54" ht="13.5" customHeight="1">
      <c r="A57" s="556"/>
      <c r="B57" s="7" t="s">
        <v>293</v>
      </c>
      <c r="C57" s="433">
        <v>0</v>
      </c>
      <c r="D57" s="41">
        <v>0</v>
      </c>
      <c r="E57" s="591"/>
      <c r="F57" s="40"/>
      <c r="G57" s="777">
        <v>0.05</v>
      </c>
      <c r="H57" s="619">
        <v>0.05</v>
      </c>
      <c r="I57" s="764">
        <v>0.05</v>
      </c>
      <c r="J57" s="40">
        <v>0.05</v>
      </c>
      <c r="K57" s="1391">
        <v>0.05</v>
      </c>
      <c r="L57" s="619">
        <v>0.05</v>
      </c>
      <c r="M57" s="764">
        <v>0.05</v>
      </c>
      <c r="N57" s="40">
        <v>0.1</v>
      </c>
      <c r="O57" s="1391">
        <v>0.1</v>
      </c>
      <c r="P57" s="619">
        <v>0.1</v>
      </c>
      <c r="Q57" s="764">
        <v>0.1</v>
      </c>
      <c r="R57" s="40">
        <v>0.1</v>
      </c>
      <c r="S57" s="1392">
        <v>0.075</v>
      </c>
      <c r="T57" s="619">
        <v>0.05</v>
      </c>
      <c r="U57" s="764">
        <v>0.05</v>
      </c>
      <c r="V57" s="40">
        <v>0.05</v>
      </c>
      <c r="W57" s="40">
        <v>0.05</v>
      </c>
      <c r="X57" s="40">
        <v>0.05</v>
      </c>
      <c r="Y57" s="30">
        <v>0</v>
      </c>
      <c r="Z57" s="40">
        <v>0</v>
      </c>
      <c r="AA57" s="40">
        <v>0</v>
      </c>
      <c r="AB57" s="40">
        <v>0</v>
      </c>
      <c r="AC57" s="1393">
        <v>0.125</v>
      </c>
      <c r="AD57" s="34">
        <v>0.125</v>
      </c>
      <c r="AE57" s="34">
        <v>0.125</v>
      </c>
      <c r="AF57" s="1394">
        <v>0.125</v>
      </c>
      <c r="AG57" s="1394">
        <v>0.125</v>
      </c>
      <c r="AH57" s="668">
        <v>0.1</v>
      </c>
      <c r="AI57" s="1395">
        <v>0.1</v>
      </c>
      <c r="AJ57" s="1395">
        <v>0.08</v>
      </c>
      <c r="AK57" s="1396">
        <v>0.08</v>
      </c>
      <c r="AL57" s="86"/>
      <c r="AM57" s="789">
        <v>0.15000000000000002</v>
      </c>
      <c r="AN57" s="64">
        <v>0.15000000000000002</v>
      </c>
      <c r="AO57" s="62">
        <v>0</v>
      </c>
      <c r="AP57" s="46">
        <v>0</v>
      </c>
      <c r="AQ57" s="53"/>
      <c r="AR57" s="795">
        <v>0.2</v>
      </c>
      <c r="AS57" s="795">
        <v>0.4</v>
      </c>
      <c r="AT57" s="667">
        <v>0.275</v>
      </c>
      <c r="AU57" s="575">
        <v>0.15</v>
      </c>
      <c r="AV57" s="500">
        <v>0.125</v>
      </c>
      <c r="AW57" s="48">
        <v>0.5</v>
      </c>
      <c r="AX57" s="48">
        <v>0.36</v>
      </c>
      <c r="AY57" s="48">
        <v>0.28</v>
      </c>
      <c r="AZ57" s="48">
        <v>0.26</v>
      </c>
      <c r="BA57" s="48">
        <v>0</v>
      </c>
      <c r="BB57" s="760"/>
    </row>
    <row r="58" spans="1:54" ht="13.5" customHeight="1" hidden="1">
      <c r="A58" s="556"/>
      <c r="B58" s="7" t="s">
        <v>27</v>
      </c>
      <c r="C58" s="433">
        <v>0</v>
      </c>
      <c r="D58" s="46" t="s">
        <v>409</v>
      </c>
      <c r="E58" s="591"/>
      <c r="F58" s="40"/>
      <c r="G58" s="629"/>
      <c r="H58" s="40"/>
      <c r="I58" s="30"/>
      <c r="J58" s="40"/>
      <c r="K58" s="632"/>
      <c r="L58" s="40"/>
      <c r="M58" s="30"/>
      <c r="N58" s="40"/>
      <c r="O58" s="632"/>
      <c r="P58" s="40"/>
      <c r="Q58" s="30"/>
      <c r="R58" s="40"/>
      <c r="S58" s="632"/>
      <c r="T58" s="40"/>
      <c r="U58" s="30"/>
      <c r="V58" s="40">
        <v>0</v>
      </c>
      <c r="W58" s="40">
        <v>0</v>
      </c>
      <c r="X58" s="40">
        <v>0</v>
      </c>
      <c r="Y58" s="30">
        <v>0</v>
      </c>
      <c r="Z58" s="40">
        <v>0</v>
      </c>
      <c r="AA58" s="40">
        <v>0</v>
      </c>
      <c r="AB58" s="40">
        <v>0</v>
      </c>
      <c r="AC58" s="1397">
        <v>0</v>
      </c>
      <c r="AD58" s="40">
        <v>0</v>
      </c>
      <c r="AE58" s="32">
        <v>0</v>
      </c>
      <c r="AF58" s="32">
        <v>0</v>
      </c>
      <c r="AG58" s="40">
        <v>0</v>
      </c>
      <c r="AH58" s="668">
        <v>0</v>
      </c>
      <c r="AI58" s="1395">
        <v>0</v>
      </c>
      <c r="AJ58" s="1395">
        <v>0</v>
      </c>
      <c r="AK58" s="1395">
        <v>0</v>
      </c>
      <c r="AL58" s="86"/>
      <c r="AM58" s="7"/>
      <c r="AN58" s="1"/>
      <c r="AO58" s="51">
        <v>0</v>
      </c>
      <c r="AP58" s="61">
        <v>0</v>
      </c>
      <c r="AQ58" s="53"/>
      <c r="AR58" s="668"/>
      <c r="AS58" s="668"/>
      <c r="AT58" s="668">
        <v>0</v>
      </c>
      <c r="AU58" s="48">
        <v>0</v>
      </c>
      <c r="AV58" s="48">
        <v>0</v>
      </c>
      <c r="AW58" s="48">
        <v>0</v>
      </c>
      <c r="AX58" s="48">
        <v>0</v>
      </c>
      <c r="AY58" s="48">
        <v>0</v>
      </c>
      <c r="AZ58" s="48">
        <v>0.15</v>
      </c>
      <c r="BA58" s="48">
        <v>0</v>
      </c>
      <c r="BB58" s="760"/>
    </row>
    <row r="59" spans="1:54" ht="13.5" customHeight="1">
      <c r="A59" s="556"/>
      <c r="B59" s="11" t="s">
        <v>294</v>
      </c>
      <c r="C59" s="54">
        <v>-0.10737678513905273</v>
      </c>
      <c r="D59" s="46"/>
      <c r="E59" s="591"/>
      <c r="F59" s="442"/>
      <c r="G59" s="630">
        <v>0.02877697841726619</v>
      </c>
      <c r="H59" s="35">
        <v>0.0301659125188537</v>
      </c>
      <c r="I59" s="30">
        <v>0.03502626970227671</v>
      </c>
      <c r="J59" s="442">
        <v>0.02932551319648094</v>
      </c>
      <c r="K59" s="1398">
        <v>0.029850746268656716</v>
      </c>
      <c r="L59" s="35">
        <v>0.035211267605633804</v>
      </c>
      <c r="M59" s="30">
        <v>0.03636363636363637</v>
      </c>
      <c r="N59" s="442">
        <v>0.048192771084337345</v>
      </c>
      <c r="O59" s="1398">
        <v>0.05128205128205129</v>
      </c>
      <c r="P59" s="35">
        <v>0.042</v>
      </c>
      <c r="Q59" s="30">
        <v>0.03236245954692557</v>
      </c>
      <c r="R59" s="442">
        <v>0.028571428571428574</v>
      </c>
      <c r="S59" s="1398">
        <v>0.0211864406779661</v>
      </c>
      <c r="T59" s="35">
        <v>0.019286403085824497</v>
      </c>
      <c r="U59" s="30">
        <v>0.021299254526091587</v>
      </c>
      <c r="V59" s="41">
        <v>0.018</v>
      </c>
      <c r="W59" s="41">
        <v>0.019</v>
      </c>
      <c r="X59" s="35">
        <v>0.02</v>
      </c>
      <c r="Y59" s="30">
        <v>0</v>
      </c>
      <c r="Z59" s="40">
        <v>0</v>
      </c>
      <c r="AA59" s="40">
        <v>0</v>
      </c>
      <c r="AB59" s="40">
        <v>0</v>
      </c>
      <c r="AC59" s="30">
        <v>0.0629</v>
      </c>
      <c r="AD59" s="41">
        <v>0.051</v>
      </c>
      <c r="AE59" s="35">
        <v>0.033</v>
      </c>
      <c r="AF59" s="35">
        <v>0.0263</v>
      </c>
      <c r="AG59" s="42">
        <v>0.024</v>
      </c>
      <c r="AH59" s="593">
        <v>0.018</v>
      </c>
      <c r="AI59" s="1399">
        <v>0.022</v>
      </c>
      <c r="AJ59" s="1399">
        <v>0.019</v>
      </c>
      <c r="AK59" s="1390">
        <v>0.018</v>
      </c>
      <c r="AL59" s="86"/>
      <c r="AM59" s="11">
        <v>0.02877697841726619</v>
      </c>
      <c r="AN59" s="52">
        <v>0.03</v>
      </c>
      <c r="AO59" s="400">
        <v>-0.12230215827338103</v>
      </c>
      <c r="AP59" s="79"/>
      <c r="AQ59" s="53"/>
      <c r="AR59" s="606">
        <v>0.02932551319648094</v>
      </c>
      <c r="AS59" s="606">
        <v>0.048192771084337345</v>
      </c>
      <c r="AT59" s="606">
        <v>0.019642857142857146</v>
      </c>
      <c r="AU59" s="49">
        <v>0.003</v>
      </c>
      <c r="AV59" s="49">
        <v>0.023</v>
      </c>
      <c r="AW59" s="49">
        <v>0.051</v>
      </c>
      <c r="AX59" s="49">
        <v>0.016</v>
      </c>
      <c r="AY59" s="49">
        <v>0.013</v>
      </c>
      <c r="AZ59" s="50">
        <v>0.0248</v>
      </c>
      <c r="BA59" s="48">
        <v>0</v>
      </c>
      <c r="BB59" s="760"/>
    </row>
    <row r="60" spans="1:54" ht="13.5" customHeight="1">
      <c r="A60" s="556"/>
      <c r="B60" s="11" t="s">
        <v>295</v>
      </c>
      <c r="C60" s="54">
        <v>-29.6758997222046</v>
      </c>
      <c r="D60" s="41"/>
      <c r="E60" s="591"/>
      <c r="F60" s="35"/>
      <c r="G60" s="630">
        <v>0.3535379895833334</v>
      </c>
      <c r="H60" s="35">
        <v>-1.5514488801452786</v>
      </c>
      <c r="I60" s="30">
        <v>0.8957809548521017</v>
      </c>
      <c r="J60" s="35">
        <v>1.3047954856708093</v>
      </c>
      <c r="K60" s="1398">
        <v>0.6502969868053794</v>
      </c>
      <c r="L60" s="35">
        <v>-0.2915189293849659</v>
      </c>
      <c r="M60" s="30">
        <v>-0.22371207025083323</v>
      </c>
      <c r="N60" s="35">
        <v>-0.314271165435609</v>
      </c>
      <c r="O60" s="1398">
        <v>6.90500463576159</v>
      </c>
      <c r="P60" s="35">
        <v>-1.177</v>
      </c>
      <c r="Q60" s="30">
        <v>0.6340895917588707</v>
      </c>
      <c r="R60" s="442">
        <v>0.20039687341190135</v>
      </c>
      <c r="S60" s="1398">
        <v>0.14412517152359466</v>
      </c>
      <c r="T60" s="35">
        <v>0.40265827724124476</v>
      </c>
      <c r="U60" s="30">
        <v>0.7957069798917247</v>
      </c>
      <c r="V60" s="41">
        <v>0.384</v>
      </c>
      <c r="W60" s="41">
        <v>0.189</v>
      </c>
      <c r="X60" s="35">
        <v>0.424</v>
      </c>
      <c r="Y60" s="30">
        <v>0</v>
      </c>
      <c r="Z60" s="40">
        <v>0</v>
      </c>
      <c r="AA60" s="40">
        <v>0</v>
      </c>
      <c r="AB60" s="40">
        <v>0</v>
      </c>
      <c r="AC60" s="30">
        <v>0.436</v>
      </c>
      <c r="AD60" s="41">
        <v>-0.176</v>
      </c>
      <c r="AE60" s="35">
        <v>0.408</v>
      </c>
      <c r="AF60" s="35">
        <v>0.492</v>
      </c>
      <c r="AG60" s="35">
        <v>0.157</v>
      </c>
      <c r="AH60" s="593">
        <v>0.185</v>
      </c>
      <c r="AI60" s="1399">
        <v>0.203</v>
      </c>
      <c r="AJ60" s="1399">
        <v>0.216</v>
      </c>
      <c r="AK60" s="1399">
        <v>0.148</v>
      </c>
      <c r="AL60" s="86"/>
      <c r="AM60" s="11">
        <v>0.912214484209279</v>
      </c>
      <c r="AN60" s="53">
        <v>-0.472</v>
      </c>
      <c r="AO60" s="400">
        <v>138.4214484209279</v>
      </c>
      <c r="AP60" s="79"/>
      <c r="AQ60" s="53"/>
      <c r="AR60" s="593">
        <v>-0.71800174848453</v>
      </c>
      <c r="AS60" s="593">
        <v>-1.3992529018390258</v>
      </c>
      <c r="AT60" s="593">
        <v>0.227795399175882</v>
      </c>
      <c r="AU60" s="50">
        <v>0.224</v>
      </c>
      <c r="AV60" s="50">
        <v>-0.151</v>
      </c>
      <c r="AW60" s="50">
        <v>0.783</v>
      </c>
      <c r="AX60" s="50">
        <v>0.185</v>
      </c>
      <c r="AY60" s="50">
        <v>0.162</v>
      </c>
      <c r="AZ60" s="50">
        <v>0.247</v>
      </c>
      <c r="BA60" s="48">
        <v>0</v>
      </c>
      <c r="BB60" s="760"/>
    </row>
    <row r="61" spans="1:54" ht="13.5" customHeight="1">
      <c r="A61" s="10"/>
      <c r="B61" s="11" t="s">
        <v>29</v>
      </c>
      <c r="C61" s="54">
        <v>-13.257334353026156</v>
      </c>
      <c r="D61" s="46"/>
      <c r="E61" s="591"/>
      <c r="F61" s="53"/>
      <c r="G61" s="53">
        <v>0.05580693815987938</v>
      </c>
      <c r="H61" s="35">
        <v>0.16987740805604204</v>
      </c>
      <c r="I61" s="1399">
        <v>-0.155425219941349</v>
      </c>
      <c r="J61" s="35">
        <v>0.02537313432835822</v>
      </c>
      <c r="K61" s="35">
        <v>0.18838028169014095</v>
      </c>
      <c r="L61" s="35">
        <v>0.04181818181818176</v>
      </c>
      <c r="M61" s="1399">
        <v>-0.33132530120481934</v>
      </c>
      <c r="N61" s="35">
        <v>0.07692307692307704</v>
      </c>
      <c r="O61" s="35">
        <v>-0.17277486910994772</v>
      </c>
      <c r="P61" s="35">
        <v>-0.219</v>
      </c>
      <c r="Q61" s="1399">
        <v>-0.11000000000000003</v>
      </c>
      <c r="R61" s="35">
        <v>-0.00423728813559323</v>
      </c>
      <c r="S61" s="442">
        <v>0.37270973963355847</v>
      </c>
      <c r="T61" s="35">
        <v>0.10969116080937152</v>
      </c>
      <c r="U61" s="1399">
        <v>-0.14954954954954947</v>
      </c>
      <c r="V61" s="41">
        <v>0.075</v>
      </c>
      <c r="W61" s="41">
        <v>0.017</v>
      </c>
      <c r="X61" s="35">
        <v>0.468</v>
      </c>
      <c r="Y61" s="1399">
        <v>0.287</v>
      </c>
      <c r="Z61" s="41">
        <v>0.337</v>
      </c>
      <c r="AA61" s="41">
        <v>-0.494</v>
      </c>
      <c r="AB61" s="35">
        <v>0.004</v>
      </c>
      <c r="AC61" s="1399">
        <v>-0.178</v>
      </c>
      <c r="AD61" s="41">
        <v>-0.359</v>
      </c>
      <c r="AE61" s="35">
        <v>-0.194</v>
      </c>
      <c r="AF61" s="35">
        <v>-0.089</v>
      </c>
      <c r="AG61" s="35">
        <v>-0.054</v>
      </c>
      <c r="AH61" s="593">
        <v>0.195</v>
      </c>
      <c r="AI61" s="1399">
        <v>0.092</v>
      </c>
      <c r="AJ61" s="1399">
        <v>-0.031</v>
      </c>
      <c r="AK61" s="1399">
        <v>-0.144</v>
      </c>
      <c r="AL61" s="86"/>
      <c r="AM61" s="35">
        <v>0.0410557184750733</v>
      </c>
      <c r="AN61" s="35">
        <v>-0.175</v>
      </c>
      <c r="AO61" s="400">
        <v>21.605571847507328</v>
      </c>
      <c r="AP61" s="46"/>
      <c r="AQ61" s="53"/>
      <c r="AR61" s="593">
        <v>-0.15421686746987956</v>
      </c>
      <c r="AS61" s="593">
        <v>-0.3785714285714285</v>
      </c>
      <c r="AT61" s="593">
        <v>0.28603603603603606</v>
      </c>
      <c r="AU61" s="50">
        <v>1.083</v>
      </c>
      <c r="AV61" s="50">
        <v>-0.442</v>
      </c>
      <c r="AW61" s="50">
        <v>-0.555</v>
      </c>
      <c r="AX61" s="50">
        <v>0.083</v>
      </c>
      <c r="AY61" s="50">
        <v>1.034</v>
      </c>
      <c r="AZ61" s="50">
        <v>0.055</v>
      </c>
      <c r="BA61" s="48">
        <v>0</v>
      </c>
      <c r="BB61" s="760"/>
    </row>
    <row r="62" spans="1:54" ht="13.5" customHeight="1">
      <c r="A62" s="11"/>
      <c r="B62" s="11" t="s">
        <v>256</v>
      </c>
      <c r="C62" s="54">
        <v>2.7440449996978185</v>
      </c>
      <c r="D62" s="46"/>
      <c r="E62" s="591"/>
      <c r="F62" s="35"/>
      <c r="G62" s="53">
        <v>0.06380697312611995</v>
      </c>
      <c r="H62" s="35">
        <v>-0.01506734753012745</v>
      </c>
      <c r="I62" s="1399">
        <v>0.02717544206996925</v>
      </c>
      <c r="J62" s="35">
        <v>0.018934813074644365</v>
      </c>
      <c r="K62" s="35">
        <v>0.037366523129141765</v>
      </c>
      <c r="L62" s="35">
        <v>-0.0832</v>
      </c>
      <c r="M62" s="1399">
        <v>-0.105920012466977</v>
      </c>
      <c r="N62" s="35">
        <v>-0.1617289930281678</v>
      </c>
      <c r="O62" s="35">
        <v>0.00641515548036903</v>
      </c>
      <c r="P62" s="35">
        <v>-0.02785367474127849</v>
      </c>
      <c r="Q62" s="1399">
        <v>0.07020250288337632</v>
      </c>
      <c r="R62" s="35">
        <v>0.22622257858938297</v>
      </c>
      <c r="S62" s="35">
        <v>0.24278270139112515</v>
      </c>
      <c r="T62" s="35">
        <v>0.06018341972092222</v>
      </c>
      <c r="U62" s="1399">
        <v>0.0386763163985252</v>
      </c>
      <c r="V62" s="35">
        <v>0.076</v>
      </c>
      <c r="W62" s="35">
        <v>0.152</v>
      </c>
      <c r="X62" s="35">
        <v>0.069</v>
      </c>
      <c r="Y62" s="1399">
        <v>0.0967</v>
      </c>
      <c r="Z62" s="35">
        <v>0.04</v>
      </c>
      <c r="AA62" s="35">
        <v>-0.643</v>
      </c>
      <c r="AB62" s="35">
        <v>-0.05</v>
      </c>
      <c r="AC62" s="1399">
        <v>0.1566</v>
      </c>
      <c r="AD62" s="35">
        <v>-0.378</v>
      </c>
      <c r="AE62" s="35">
        <v>0.162</v>
      </c>
      <c r="AF62" s="35">
        <v>0.128</v>
      </c>
      <c r="AG62" s="35">
        <v>0.412</v>
      </c>
      <c r="AH62" s="593">
        <v>0.29</v>
      </c>
      <c r="AI62" s="1399">
        <v>0.276</v>
      </c>
      <c r="AJ62" s="1399">
        <v>0.2214</v>
      </c>
      <c r="AK62" s="1399">
        <v>0.347</v>
      </c>
      <c r="AL62" s="86"/>
      <c r="AM62" s="35">
        <v>0.02530502255532058</v>
      </c>
      <c r="AN62" s="35">
        <v>-0.05</v>
      </c>
      <c r="AO62" s="400">
        <v>7.530502255532058</v>
      </c>
      <c r="AP62" s="79"/>
      <c r="AQ62" s="53"/>
      <c r="AR62" s="50">
        <v>-0.032832484921503695</v>
      </c>
      <c r="AS62" s="50">
        <v>-0.030735753328978425</v>
      </c>
      <c r="AT62" s="50">
        <v>0.14196625402498889</v>
      </c>
      <c r="AU62" s="50">
        <v>0.098</v>
      </c>
      <c r="AV62" s="50">
        <v>-0.124</v>
      </c>
      <c r="AW62" s="50">
        <v>0.079</v>
      </c>
      <c r="AX62" s="50">
        <v>0.284</v>
      </c>
      <c r="AY62" s="50">
        <v>0.336</v>
      </c>
      <c r="AZ62" s="50">
        <v>0.239</v>
      </c>
      <c r="BA62" s="50">
        <v>0.43465</v>
      </c>
      <c r="BB62" s="760"/>
    </row>
    <row r="63" spans="1:54" ht="13.5" customHeight="1">
      <c r="A63" s="7"/>
      <c r="B63" s="7" t="s">
        <v>257</v>
      </c>
      <c r="C63" s="90">
        <v>41.7965367965368</v>
      </c>
      <c r="D63" s="41" t="s">
        <v>44</v>
      </c>
      <c r="E63" s="591"/>
      <c r="F63" s="80"/>
      <c r="G63" s="36">
        <v>33.095238095238095</v>
      </c>
      <c r="H63" s="36">
        <v>44.2</v>
      </c>
      <c r="I63" s="1400">
        <v>-570.9999999999995</v>
      </c>
      <c r="J63" s="36">
        <v>-22</v>
      </c>
      <c r="K63" s="36">
        <v>-8.701298701298702</v>
      </c>
      <c r="L63" s="36">
        <v>-6.761904761904763</v>
      </c>
      <c r="M63" s="1400">
        <v>-7.4324324324324325</v>
      </c>
      <c r="N63" s="36">
        <v>-24.41176470588236</v>
      </c>
      <c r="O63" s="36">
        <v>13.684210526315788</v>
      </c>
      <c r="P63" s="36">
        <v>8.925233644859816</v>
      </c>
      <c r="Q63" s="1400">
        <v>9.65625</v>
      </c>
      <c r="R63" s="36">
        <v>11.764705882352942</v>
      </c>
      <c r="S63" s="36">
        <v>16.857142857142854</v>
      </c>
      <c r="T63" s="36">
        <v>17.283333333333328</v>
      </c>
      <c r="U63" s="1400">
        <v>15.649999999999999</v>
      </c>
      <c r="V63" s="36">
        <v>16.1</v>
      </c>
      <c r="W63" s="36">
        <v>16.7</v>
      </c>
      <c r="X63" s="36">
        <v>-11.1</v>
      </c>
      <c r="Y63" s="1400">
        <v>-6.04</v>
      </c>
      <c r="Z63" s="36">
        <v>5.7</v>
      </c>
      <c r="AA63" s="36">
        <v>-10.9</v>
      </c>
      <c r="AB63" s="894">
        <v>8.1</v>
      </c>
      <c r="AC63" s="1401">
        <v>7.3</v>
      </c>
      <c r="AD63" s="36">
        <v>15.8</v>
      </c>
      <c r="AE63" s="36">
        <v>7.8</v>
      </c>
      <c r="AF63" s="36">
        <v>8.9</v>
      </c>
      <c r="AG63" s="36">
        <v>9.5</v>
      </c>
      <c r="AH63" s="1402">
        <v>11.4</v>
      </c>
      <c r="AI63" s="1400">
        <v>9.2</v>
      </c>
      <c r="AJ63" s="1400">
        <v>8.3</v>
      </c>
      <c r="AK63" s="1400">
        <v>8.7</v>
      </c>
      <c r="AL63" s="86"/>
      <c r="AM63" s="893">
        <v>33.095238095238095</v>
      </c>
      <c r="AN63" s="80">
        <v>-8.7</v>
      </c>
      <c r="AO63" s="80">
        <v>41.79523809523809</v>
      </c>
      <c r="AP63" s="46" t="s">
        <v>44</v>
      </c>
      <c r="AQ63" s="53"/>
      <c r="AR63" s="82">
        <v>-22</v>
      </c>
      <c r="AS63" s="82">
        <v>-24.41176470588236</v>
      </c>
      <c r="AT63" s="82">
        <v>11.764705882352942</v>
      </c>
      <c r="AU63" s="82">
        <v>16.1</v>
      </c>
      <c r="AV63" s="82">
        <v>5.7</v>
      </c>
      <c r="AW63" s="82">
        <v>15.8</v>
      </c>
      <c r="AX63" s="82">
        <v>11.4</v>
      </c>
      <c r="AY63" s="82">
        <v>12</v>
      </c>
      <c r="AZ63" s="82">
        <v>9.5273</v>
      </c>
      <c r="BA63" s="48">
        <v>0</v>
      </c>
      <c r="BB63" s="760"/>
    </row>
    <row r="64" spans="1:54" ht="13.5" customHeight="1">
      <c r="A64" s="7"/>
      <c r="B64" s="7" t="s">
        <v>258</v>
      </c>
      <c r="C64" s="90">
        <v>-0.05487135225101736</v>
      </c>
      <c r="D64" s="41">
        <v>-0.062402888650194145</v>
      </c>
      <c r="E64" s="591"/>
      <c r="F64" s="80"/>
      <c r="G64" s="36">
        <v>0.8244365361803084</v>
      </c>
      <c r="H64" s="80">
        <v>0.82861461364787</v>
      </c>
      <c r="I64" s="81">
        <v>0.7256233281497687</v>
      </c>
      <c r="J64" s="80">
        <v>0.8884161586538347</v>
      </c>
      <c r="K64" s="36">
        <v>0.8793078884313258</v>
      </c>
      <c r="L64" s="80">
        <v>0.7461017264166548</v>
      </c>
      <c r="M64" s="81">
        <v>0.6959713607906816</v>
      </c>
      <c r="N64" s="80">
        <v>1.0044684002282975</v>
      </c>
      <c r="O64" s="80">
        <v>0.9129614515352464</v>
      </c>
      <c r="P64" s="80">
        <v>1.090909768558807</v>
      </c>
      <c r="Q64" s="81">
        <v>1.4194867150803914</v>
      </c>
      <c r="R64" s="80">
        <v>1.5921963397684213</v>
      </c>
      <c r="S64" s="80">
        <v>1.679093169666881</v>
      </c>
      <c r="T64" s="80">
        <v>1.2886118907322233</v>
      </c>
      <c r="U64" s="81">
        <v>1.1944967059416152</v>
      </c>
      <c r="V64" s="80">
        <v>1.6</v>
      </c>
      <c r="W64" s="80">
        <v>1.5</v>
      </c>
      <c r="X64" s="80">
        <v>1.5</v>
      </c>
      <c r="Y64" s="81">
        <v>1.04</v>
      </c>
      <c r="Z64" s="80">
        <v>0.8</v>
      </c>
      <c r="AA64" s="80">
        <v>0.6</v>
      </c>
      <c r="AB64" s="80">
        <v>1.1</v>
      </c>
      <c r="AC64" s="81">
        <v>1.04</v>
      </c>
      <c r="AD64" s="80">
        <v>1.4</v>
      </c>
      <c r="AE64" s="80">
        <v>1.9</v>
      </c>
      <c r="AF64" s="80">
        <v>2.4</v>
      </c>
      <c r="AG64" s="80">
        <v>2.6</v>
      </c>
      <c r="AH64" s="82">
        <v>2.9</v>
      </c>
      <c r="AI64" s="81">
        <v>2.5</v>
      </c>
      <c r="AJ64" s="81">
        <v>2.5</v>
      </c>
      <c r="AK64" s="81">
        <v>2.7</v>
      </c>
      <c r="AL64" s="199"/>
      <c r="AM64" s="893">
        <v>0.8244365361803084</v>
      </c>
      <c r="AN64" s="469">
        <v>0.9</v>
      </c>
      <c r="AO64" s="80">
        <v>-0.07556346381969159</v>
      </c>
      <c r="AP64" s="46">
        <v>-0.08395940424410177</v>
      </c>
      <c r="AQ64" s="53"/>
      <c r="AR64" s="82">
        <v>0.8884161586538347</v>
      </c>
      <c r="AS64" s="82">
        <v>1.0044684002282975</v>
      </c>
      <c r="AT64" s="82">
        <v>1.5921963397684213</v>
      </c>
      <c r="AU64" s="82">
        <v>1.6</v>
      </c>
      <c r="AV64" s="82">
        <v>0.82</v>
      </c>
      <c r="AW64" s="82">
        <v>1.4</v>
      </c>
      <c r="AX64" s="82">
        <v>2.9</v>
      </c>
      <c r="AY64" s="82">
        <v>3.5</v>
      </c>
      <c r="AZ64" s="82">
        <v>2.18</v>
      </c>
      <c r="BA64" s="48">
        <v>0</v>
      </c>
      <c r="BB64" s="760"/>
    </row>
    <row r="65" spans="1:54" ht="9.75" customHeight="1">
      <c r="A65" s="2"/>
      <c r="B65" s="2"/>
      <c r="C65" s="879"/>
      <c r="D65" s="880"/>
      <c r="E65" s="199"/>
      <c r="F65" s="481"/>
      <c r="G65" s="481"/>
      <c r="H65" s="481"/>
      <c r="I65" s="880"/>
      <c r="J65" s="481"/>
      <c r="K65" s="481"/>
      <c r="L65" s="481"/>
      <c r="M65" s="880"/>
      <c r="N65" s="481"/>
      <c r="O65" s="481"/>
      <c r="P65" s="481"/>
      <c r="Q65" s="880"/>
      <c r="R65" s="481"/>
      <c r="S65" s="481"/>
      <c r="T65" s="481"/>
      <c r="U65" s="880"/>
      <c r="V65" s="481"/>
      <c r="W65" s="481"/>
      <c r="X65" s="481"/>
      <c r="Y65" s="880"/>
      <c r="Z65" s="481"/>
      <c r="AA65" s="481"/>
      <c r="AB65" s="481"/>
      <c r="AC65" s="880"/>
      <c r="AD65" s="481"/>
      <c r="AE65" s="481"/>
      <c r="AF65" s="481"/>
      <c r="AG65" s="880"/>
      <c r="AH65" s="405"/>
      <c r="AI65" s="880"/>
      <c r="AJ65" s="880"/>
      <c r="AK65" s="880"/>
      <c r="AL65" s="199"/>
      <c r="AM65" s="879"/>
      <c r="AN65" s="481"/>
      <c r="AO65" s="454"/>
      <c r="AP65" s="378"/>
      <c r="AQ65" s="268"/>
      <c r="AR65" s="879"/>
      <c r="AS65" s="879"/>
      <c r="AT65" s="879"/>
      <c r="AU65" s="879"/>
      <c r="AV65" s="879"/>
      <c r="AW65" s="405"/>
      <c r="AX65" s="405"/>
      <c r="AY65" s="405"/>
      <c r="AZ65" s="405"/>
      <c r="BA65" s="405"/>
      <c r="BB65" s="760"/>
    </row>
    <row r="66" spans="1:53" ht="9.75" customHeight="1">
      <c r="A66" s="2"/>
      <c r="B66" s="2"/>
      <c r="C66" s="268"/>
      <c r="D66" s="268"/>
      <c r="E66" s="1"/>
      <c r="F66" s="1"/>
      <c r="G66" s="1"/>
      <c r="H66" s="1"/>
      <c r="I66" s="1"/>
      <c r="J66" s="1"/>
      <c r="K66" s="1"/>
      <c r="L66" s="1"/>
      <c r="M66" s="1"/>
      <c r="N66" s="1"/>
      <c r="O66" s="1"/>
      <c r="P66" s="1"/>
      <c r="Q66" s="1"/>
      <c r="R66" s="1"/>
      <c r="S66" s="1"/>
      <c r="T66" s="1"/>
      <c r="U66" s="1"/>
      <c r="V66" s="1"/>
      <c r="W66" s="1"/>
      <c r="X66" s="1"/>
      <c r="Y66" s="881"/>
      <c r="Z66" s="1"/>
      <c r="AA66" s="1"/>
      <c r="AB66" s="1"/>
      <c r="AC66" s="1"/>
      <c r="AD66" s="1"/>
      <c r="AE66" s="1"/>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row>
    <row r="67" spans="1:53" ht="18" customHeight="1">
      <c r="A67" s="882" t="s">
        <v>324</v>
      </c>
      <c r="B67" s="2"/>
      <c r="C67" s="268"/>
      <c r="D67" s="268"/>
      <c r="E67" s="1"/>
      <c r="F67" s="1"/>
      <c r="G67" s="1"/>
      <c r="H67" s="1"/>
      <c r="I67" s="1"/>
      <c r="J67" s="1"/>
      <c r="K67" s="1"/>
      <c r="L67" s="1"/>
      <c r="M67" s="1"/>
      <c r="N67" s="1"/>
      <c r="O67" s="1"/>
      <c r="P67" s="1"/>
      <c r="Q67" s="1"/>
      <c r="R67" s="1"/>
      <c r="S67" s="1"/>
      <c r="T67" s="1"/>
      <c r="U67" s="1"/>
      <c r="V67" s="1"/>
      <c r="W67" s="1"/>
      <c r="X67" s="597"/>
      <c r="Y67" s="1"/>
      <c r="Z67" s="1"/>
      <c r="AA67" s="1"/>
      <c r="AB67" s="1"/>
      <c r="AC67" s="1"/>
      <c r="AD67" s="1"/>
      <c r="AE67" s="1"/>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row>
    <row r="68" spans="1:53" ht="9.75" customHeight="1">
      <c r="A68" s="882"/>
      <c r="B68" s="2"/>
      <c r="C68" s="268"/>
      <c r="D68" s="268"/>
      <c r="E68" s="1"/>
      <c r="F68" s="481"/>
      <c r="G68" s="1"/>
      <c r="H68" s="481"/>
      <c r="I68" s="1"/>
      <c r="J68" s="481"/>
      <c r="K68" s="1"/>
      <c r="L68" s="481"/>
      <c r="M68" s="1"/>
      <c r="N68" s="481"/>
      <c r="O68" s="1"/>
      <c r="P68" s="481"/>
      <c r="Q68" s="1"/>
      <c r="R68" s="481"/>
      <c r="S68" s="1"/>
      <c r="T68" s="481"/>
      <c r="U68" s="1"/>
      <c r="V68" s="481"/>
      <c r="W68" s="481"/>
      <c r="X68" s="481"/>
      <c r="Y68" s="1"/>
      <c r="Z68" s="481"/>
      <c r="AA68" s="481"/>
      <c r="AB68" s="1"/>
      <c r="AC68" s="1"/>
      <c r="AD68" s="1"/>
      <c r="AE68" s="1"/>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row>
    <row r="69" spans="1:54" ht="12.75">
      <c r="A69" s="6" t="s">
        <v>1</v>
      </c>
      <c r="B69" s="2"/>
      <c r="C69" s="1437" t="s">
        <v>497</v>
      </c>
      <c r="D69" s="1438"/>
      <c r="E69" s="498"/>
      <c r="F69" s="462"/>
      <c r="G69" s="477"/>
      <c r="H69" s="536"/>
      <c r="I69" s="883"/>
      <c r="J69" s="462"/>
      <c r="K69" s="477"/>
      <c r="L69" s="536"/>
      <c r="M69" s="883"/>
      <c r="N69" s="462"/>
      <c r="O69" s="477"/>
      <c r="P69" s="536"/>
      <c r="Q69" s="883"/>
      <c r="R69" s="462"/>
      <c r="S69" s="477"/>
      <c r="T69" s="536"/>
      <c r="U69" s="883"/>
      <c r="V69" s="462"/>
      <c r="W69" s="536"/>
      <c r="Y69" s="883"/>
      <c r="Z69" s="536"/>
      <c r="AA69" s="406"/>
      <c r="AB69" s="477"/>
      <c r="AC69" s="883"/>
      <c r="AD69" s="884"/>
      <c r="AE69" s="884"/>
      <c r="AF69" s="884"/>
      <c r="AG69" s="884"/>
      <c r="AH69" s="412"/>
      <c r="AI69" s="883"/>
      <c r="AJ69" s="883"/>
      <c r="AK69" s="883"/>
      <c r="AL69" s="199"/>
      <c r="AM69" s="725" t="s">
        <v>406</v>
      </c>
      <c r="AN69" s="711"/>
      <c r="AO69" s="711" t="s">
        <v>480</v>
      </c>
      <c r="AP69" s="712"/>
      <c r="AQ69" s="406"/>
      <c r="AR69" s="885"/>
      <c r="AS69" s="885"/>
      <c r="AT69" s="885"/>
      <c r="AU69" s="885"/>
      <c r="AV69" s="885"/>
      <c r="AW69" s="412"/>
      <c r="AX69" s="412"/>
      <c r="AY69" s="407"/>
      <c r="AZ69" s="407"/>
      <c r="BA69" s="407"/>
      <c r="BB69" s="760"/>
    </row>
    <row r="70" spans="1:54" ht="13.5">
      <c r="A70" s="6" t="s">
        <v>2</v>
      </c>
      <c r="B70" s="2"/>
      <c r="C70" s="1439" t="s">
        <v>41</v>
      </c>
      <c r="D70" s="1440"/>
      <c r="E70" s="604"/>
      <c r="F70" s="21" t="s">
        <v>431</v>
      </c>
      <c r="G70" s="21" t="s">
        <v>430</v>
      </c>
      <c r="H70" s="21" t="s">
        <v>429</v>
      </c>
      <c r="I70" s="14" t="s">
        <v>427</v>
      </c>
      <c r="J70" s="20" t="s">
        <v>362</v>
      </c>
      <c r="K70" s="21" t="s">
        <v>363</v>
      </c>
      <c r="L70" s="21" t="s">
        <v>364</v>
      </c>
      <c r="M70" s="14" t="s">
        <v>365</v>
      </c>
      <c r="N70" s="20" t="s">
        <v>277</v>
      </c>
      <c r="O70" s="21" t="s">
        <v>278</v>
      </c>
      <c r="P70" s="21" t="s">
        <v>279</v>
      </c>
      <c r="Q70" s="411" t="s">
        <v>276</v>
      </c>
      <c r="R70" s="20" t="s">
        <v>222</v>
      </c>
      <c r="S70" s="21" t="s">
        <v>223</v>
      </c>
      <c r="T70" s="21" t="s">
        <v>224</v>
      </c>
      <c r="U70" s="411" t="s">
        <v>225</v>
      </c>
      <c r="V70" s="20" t="s">
        <v>141</v>
      </c>
      <c r="W70" s="21" t="s">
        <v>140</v>
      </c>
      <c r="X70" s="21" t="s">
        <v>139</v>
      </c>
      <c r="Y70" s="411" t="s">
        <v>138</v>
      </c>
      <c r="Z70" s="21" t="s">
        <v>91</v>
      </c>
      <c r="AA70" s="21" t="s">
        <v>92</v>
      </c>
      <c r="AB70" s="21" t="s">
        <v>93</v>
      </c>
      <c r="AC70" s="411" t="s">
        <v>32</v>
      </c>
      <c r="AD70" s="409" t="s">
        <v>33</v>
      </c>
      <c r="AE70" s="409" t="s">
        <v>34</v>
      </c>
      <c r="AF70" s="409" t="s">
        <v>35</v>
      </c>
      <c r="AG70" s="409" t="s">
        <v>36</v>
      </c>
      <c r="AH70" s="408" t="s">
        <v>37</v>
      </c>
      <c r="AI70" s="411" t="s">
        <v>38</v>
      </c>
      <c r="AJ70" s="411" t="s">
        <v>39</v>
      </c>
      <c r="AK70" s="411" t="s">
        <v>40</v>
      </c>
      <c r="AL70" s="498"/>
      <c r="AM70" s="21" t="s">
        <v>430</v>
      </c>
      <c r="AN70" s="21" t="s">
        <v>363</v>
      </c>
      <c r="AO70" s="1435" t="s">
        <v>41</v>
      </c>
      <c r="AP70" s="1436"/>
      <c r="AQ70" s="682"/>
      <c r="AR70" s="20" t="s">
        <v>367</v>
      </c>
      <c r="AS70" s="20" t="s">
        <v>285</v>
      </c>
      <c r="AT70" s="20" t="s">
        <v>143</v>
      </c>
      <c r="AU70" s="410" t="s">
        <v>142</v>
      </c>
      <c r="AV70" s="410" t="s">
        <v>45</v>
      </c>
      <c r="AW70" s="408" t="s">
        <v>42</v>
      </c>
      <c r="AX70" s="408" t="s">
        <v>43</v>
      </c>
      <c r="AY70" s="408" t="s">
        <v>165</v>
      </c>
      <c r="AZ70" s="408" t="s">
        <v>166</v>
      </c>
      <c r="BA70" s="408" t="s">
        <v>167</v>
      </c>
      <c r="BB70" s="760"/>
    </row>
    <row r="71" spans="1:54" ht="12.75" customHeight="1">
      <c r="A71" s="142" t="s">
        <v>3</v>
      </c>
      <c r="B71" s="8"/>
      <c r="C71" s="885"/>
      <c r="D71" s="883"/>
      <c r="E71" s="199"/>
      <c r="F71" s="416"/>
      <c r="G71" s="1"/>
      <c r="H71" s="1"/>
      <c r="I71" s="417"/>
      <c r="J71" s="416"/>
      <c r="K71" s="1"/>
      <c r="L71" s="1"/>
      <c r="M71" s="417"/>
      <c r="N71" s="416"/>
      <c r="O71" s="1"/>
      <c r="P71" s="1"/>
      <c r="Q71" s="417"/>
      <c r="R71" s="416"/>
      <c r="S71" s="1"/>
      <c r="T71" s="1"/>
      <c r="U71" s="417"/>
      <c r="V71" s="416"/>
      <c r="W71" s="1"/>
      <c r="X71" s="1"/>
      <c r="Y71" s="417"/>
      <c r="Z71" s="1"/>
      <c r="AA71" s="1"/>
      <c r="AB71" s="1"/>
      <c r="AC71" s="417"/>
      <c r="AD71" s="885"/>
      <c r="AE71" s="884"/>
      <c r="AF71" s="884"/>
      <c r="AG71" s="883"/>
      <c r="AH71" s="412"/>
      <c r="AI71" s="883"/>
      <c r="AJ71" s="883"/>
      <c r="AK71" s="883"/>
      <c r="AL71" s="199"/>
      <c r="AM71" s="1"/>
      <c r="AN71" s="1"/>
      <c r="AO71" s="884"/>
      <c r="AP71" s="883"/>
      <c r="AQ71" s="268"/>
      <c r="AR71" s="412"/>
      <c r="AS71" s="412"/>
      <c r="AT71" s="412"/>
      <c r="AU71" s="412"/>
      <c r="AV71" s="412"/>
      <c r="AW71" s="412"/>
      <c r="AX71" s="412"/>
      <c r="AY71" s="412"/>
      <c r="AZ71" s="412"/>
      <c r="BA71" s="412"/>
      <c r="BB71" s="760"/>
    </row>
    <row r="72" spans="1:54" ht="12.75" customHeight="1">
      <c r="A72" s="7"/>
      <c r="B72" s="7" t="s">
        <v>4</v>
      </c>
      <c r="C72" s="413">
        <v>956</v>
      </c>
      <c r="D72" s="41">
        <v>0.004156467524336639</v>
      </c>
      <c r="E72" s="49"/>
      <c r="F72" s="439"/>
      <c r="G72" s="440">
        <v>230959</v>
      </c>
      <c r="H72" s="440">
        <v>183306</v>
      </c>
      <c r="I72" s="886">
        <v>187231</v>
      </c>
      <c r="J72" s="439">
        <v>217971</v>
      </c>
      <c r="K72" s="440">
        <v>230003</v>
      </c>
      <c r="L72" s="440">
        <v>186599</v>
      </c>
      <c r="M72" s="886">
        <v>162549</v>
      </c>
      <c r="N72" s="439">
        <v>177692</v>
      </c>
      <c r="O72" s="440">
        <v>147889</v>
      </c>
      <c r="P72" s="440">
        <v>119500</v>
      </c>
      <c r="Q72" s="886">
        <v>159783</v>
      </c>
      <c r="R72" s="439">
        <v>247595</v>
      </c>
      <c r="S72" s="440">
        <v>254834</v>
      </c>
      <c r="T72" s="440">
        <v>149285</v>
      </c>
      <c r="U72" s="886">
        <v>151917</v>
      </c>
      <c r="V72" s="439">
        <v>143133</v>
      </c>
      <c r="W72" s="440">
        <v>173197</v>
      </c>
      <c r="X72" s="440">
        <v>123744</v>
      </c>
      <c r="Y72" s="886">
        <v>137463</v>
      </c>
      <c r="Z72" s="440">
        <v>106996</v>
      </c>
      <c r="AA72" s="440">
        <v>87188</v>
      </c>
      <c r="AB72" s="440">
        <v>110829</v>
      </c>
      <c r="AC72" s="886">
        <v>172708</v>
      </c>
      <c r="AD72" s="56">
        <v>143446</v>
      </c>
      <c r="AE72" s="55">
        <v>183354</v>
      </c>
      <c r="AF72" s="55">
        <v>158869</v>
      </c>
      <c r="AG72" s="57">
        <v>245870</v>
      </c>
      <c r="AH72" s="59">
        <v>216443</v>
      </c>
      <c r="AI72" s="57">
        <v>178313</v>
      </c>
      <c r="AJ72" s="57">
        <v>156031</v>
      </c>
      <c r="AK72" s="57">
        <v>206127</v>
      </c>
      <c r="AL72" s="199"/>
      <c r="AM72" s="854">
        <v>601496</v>
      </c>
      <c r="AN72" s="440">
        <v>579151</v>
      </c>
      <c r="AO72" s="55">
        <v>22345</v>
      </c>
      <c r="AP72" s="46">
        <v>0.03858233863016726</v>
      </c>
      <c r="AQ72" s="268"/>
      <c r="AR72" s="59">
        <v>797122</v>
      </c>
      <c r="AS72" s="415">
        <v>604864</v>
      </c>
      <c r="AT72" s="415">
        <v>803631</v>
      </c>
      <c r="AU72" s="415">
        <v>577537</v>
      </c>
      <c r="AV72" s="415">
        <v>477721</v>
      </c>
      <c r="AW72" s="415">
        <v>731539</v>
      </c>
      <c r="AX72" s="59">
        <v>756914</v>
      </c>
      <c r="AY72" s="59">
        <v>583415</v>
      </c>
      <c r="AZ72" s="59">
        <v>432778</v>
      </c>
      <c r="BA72" s="59">
        <v>402157</v>
      </c>
      <c r="BB72" s="760"/>
    </row>
    <row r="73" spans="1:54" ht="12.75" customHeight="1">
      <c r="A73" s="7"/>
      <c r="B73" s="7" t="s">
        <v>5</v>
      </c>
      <c r="C73" s="413">
        <v>-2111</v>
      </c>
      <c r="D73" s="41">
        <v>-0.010296305328618461</v>
      </c>
      <c r="E73" s="49"/>
      <c r="F73" s="439"/>
      <c r="G73" s="440">
        <v>202914</v>
      </c>
      <c r="H73" s="440">
        <v>175367</v>
      </c>
      <c r="I73" s="886">
        <v>174527</v>
      </c>
      <c r="J73" s="439">
        <v>200481</v>
      </c>
      <c r="K73" s="440">
        <v>205025</v>
      </c>
      <c r="L73" s="440">
        <v>179710</v>
      </c>
      <c r="M73" s="886">
        <v>181677</v>
      </c>
      <c r="N73" s="439">
        <v>166505</v>
      </c>
      <c r="O73" s="440">
        <v>132063</v>
      </c>
      <c r="P73" s="440">
        <v>122510</v>
      </c>
      <c r="Q73" s="886">
        <v>143104</v>
      </c>
      <c r="R73" s="439">
        <v>188349</v>
      </c>
      <c r="S73" s="440">
        <v>190238</v>
      </c>
      <c r="T73" s="440">
        <v>132849</v>
      </c>
      <c r="U73" s="886">
        <v>131857</v>
      </c>
      <c r="V73" s="439">
        <v>132658</v>
      </c>
      <c r="W73" s="440">
        <v>150887</v>
      </c>
      <c r="X73" s="440">
        <v>115883</v>
      </c>
      <c r="Y73" s="886">
        <v>121468</v>
      </c>
      <c r="Z73" s="440">
        <v>100169</v>
      </c>
      <c r="AA73" s="440">
        <v>108534</v>
      </c>
      <c r="AB73" s="440">
        <v>115805</v>
      </c>
      <c r="AC73" s="886">
        <v>149179</v>
      </c>
      <c r="AD73" s="56">
        <v>131632</v>
      </c>
      <c r="AE73" s="55">
        <v>154817</v>
      </c>
      <c r="AF73" s="55">
        <v>135342</v>
      </c>
      <c r="AG73" s="57">
        <v>187220</v>
      </c>
      <c r="AH73" s="59">
        <v>176307</v>
      </c>
      <c r="AI73" s="57">
        <v>144677</v>
      </c>
      <c r="AJ73" s="57">
        <v>130781</v>
      </c>
      <c r="AK73" s="57">
        <v>166952</v>
      </c>
      <c r="AL73" s="199"/>
      <c r="AM73" s="854">
        <v>552808</v>
      </c>
      <c r="AN73" s="1338">
        <v>566412</v>
      </c>
      <c r="AO73" s="55">
        <v>-13604</v>
      </c>
      <c r="AP73" s="46">
        <v>-0.024017852729108845</v>
      </c>
      <c r="AQ73" s="268"/>
      <c r="AR73" s="59">
        <v>766893</v>
      </c>
      <c r="AS73" s="415">
        <v>564182</v>
      </c>
      <c r="AT73" s="415">
        <v>643293</v>
      </c>
      <c r="AU73" s="415">
        <v>520896</v>
      </c>
      <c r="AV73" s="415">
        <v>473687</v>
      </c>
      <c r="AW73" s="415">
        <v>609011</v>
      </c>
      <c r="AX73" s="59">
        <v>618717</v>
      </c>
      <c r="AY73" s="59">
        <v>464385</v>
      </c>
      <c r="AZ73" s="59">
        <v>360022</v>
      </c>
      <c r="BA73" s="59">
        <v>339600</v>
      </c>
      <c r="BB73" s="760"/>
    </row>
    <row r="74" spans="1:54" ht="12.75" customHeight="1">
      <c r="A74" s="7"/>
      <c r="B74" s="7" t="s">
        <v>6</v>
      </c>
      <c r="C74" s="413">
        <v>2293</v>
      </c>
      <c r="D74" s="41">
        <v>0.5067403314917127</v>
      </c>
      <c r="E74" s="49"/>
      <c r="F74" s="439"/>
      <c r="G74" s="440">
        <v>6818</v>
      </c>
      <c r="H74" s="440">
        <v>1205</v>
      </c>
      <c r="I74" s="886">
        <v>894</v>
      </c>
      <c r="J74" s="439">
        <v>1911</v>
      </c>
      <c r="K74" s="440">
        <v>4525</v>
      </c>
      <c r="L74" s="440">
        <v>982</v>
      </c>
      <c r="M74" s="1337">
        <v>-2833</v>
      </c>
      <c r="N74" s="439">
        <v>9098</v>
      </c>
      <c r="O74" s="440">
        <v>5182</v>
      </c>
      <c r="P74" s="440">
        <v>-1345</v>
      </c>
      <c r="Q74" s="886">
        <v>2554</v>
      </c>
      <c r="R74" s="439">
        <v>16993</v>
      </c>
      <c r="S74" s="440">
        <v>18992</v>
      </c>
      <c r="T74" s="440">
        <v>4358</v>
      </c>
      <c r="U74" s="886">
        <v>5868.5497</v>
      </c>
      <c r="V74" s="439">
        <v>-597</v>
      </c>
      <c r="W74" s="440">
        <v>7197</v>
      </c>
      <c r="X74" s="440">
        <v>1115</v>
      </c>
      <c r="Y74" s="886">
        <v>6883</v>
      </c>
      <c r="Z74" s="440">
        <v>3063</v>
      </c>
      <c r="AA74" s="440">
        <v>-5104</v>
      </c>
      <c r="AB74" s="440">
        <v>422</v>
      </c>
      <c r="AC74" s="886">
        <v>7070</v>
      </c>
      <c r="AD74" s="56">
        <v>4639.48</v>
      </c>
      <c r="AE74" s="55">
        <v>10704.065999999999</v>
      </c>
      <c r="AF74" s="55">
        <v>8217.059000000001</v>
      </c>
      <c r="AG74" s="57">
        <v>19621</v>
      </c>
      <c r="AH74" s="59">
        <v>14120</v>
      </c>
      <c r="AI74" s="57">
        <v>9944</v>
      </c>
      <c r="AJ74" s="57">
        <v>7444</v>
      </c>
      <c r="AK74" s="57">
        <v>13233</v>
      </c>
      <c r="AL74" s="199"/>
      <c r="AM74" s="854">
        <v>8917</v>
      </c>
      <c r="AN74" s="1338">
        <v>2674</v>
      </c>
      <c r="AO74" s="55">
        <v>6243</v>
      </c>
      <c r="AP74" s="46">
        <v>2.3347045624532536</v>
      </c>
      <c r="AQ74" s="268"/>
      <c r="AR74" s="59">
        <v>4585</v>
      </c>
      <c r="AS74" s="415">
        <v>15489</v>
      </c>
      <c r="AT74" s="415">
        <v>46211.5497</v>
      </c>
      <c r="AU74" s="415">
        <v>14598</v>
      </c>
      <c r="AV74" s="415">
        <v>5451</v>
      </c>
      <c r="AW74" s="415">
        <v>43181.604999999996</v>
      </c>
      <c r="AX74" s="59">
        <v>44741</v>
      </c>
      <c r="AY74" s="59">
        <v>37880</v>
      </c>
      <c r="AZ74" s="59">
        <v>24177</v>
      </c>
      <c r="BA74" s="59">
        <v>22128</v>
      </c>
      <c r="BB74" s="760"/>
    </row>
    <row r="75" spans="1:54" ht="12.75" customHeight="1">
      <c r="A75" s="7"/>
      <c r="B75" s="7" t="s">
        <v>7</v>
      </c>
      <c r="C75" s="413">
        <v>774</v>
      </c>
      <c r="D75" s="41">
        <v>0.037842859238253555</v>
      </c>
      <c r="E75" s="49"/>
      <c r="F75" s="439"/>
      <c r="G75" s="440">
        <v>21227</v>
      </c>
      <c r="H75" s="440">
        <v>6734</v>
      </c>
      <c r="I75" s="886">
        <v>11810</v>
      </c>
      <c r="J75" s="439">
        <v>15579</v>
      </c>
      <c r="K75" s="440">
        <v>20453</v>
      </c>
      <c r="L75" s="440">
        <v>5907</v>
      </c>
      <c r="M75" s="1337">
        <v>-16295</v>
      </c>
      <c r="N75" s="439">
        <v>2089</v>
      </c>
      <c r="O75" s="440">
        <v>10644</v>
      </c>
      <c r="P75" s="440">
        <v>-1665</v>
      </c>
      <c r="Q75" s="886">
        <v>14125</v>
      </c>
      <c r="R75" s="439">
        <v>42253</v>
      </c>
      <c r="S75" s="440">
        <v>45604</v>
      </c>
      <c r="T75" s="440">
        <v>12078</v>
      </c>
      <c r="U75" s="886">
        <v>14191.4503</v>
      </c>
      <c r="V75" s="439">
        <v>11072</v>
      </c>
      <c r="W75" s="440">
        <v>15113</v>
      </c>
      <c r="X75" s="440">
        <v>6746</v>
      </c>
      <c r="Y75" s="886">
        <v>9112</v>
      </c>
      <c r="Z75" s="440">
        <v>3764</v>
      </c>
      <c r="AA75" s="440">
        <v>-16242</v>
      </c>
      <c r="AB75" s="440">
        <v>-5398</v>
      </c>
      <c r="AC75" s="886">
        <v>16459</v>
      </c>
      <c r="AD75" s="56">
        <v>7174.52</v>
      </c>
      <c r="AE75" s="55">
        <v>17832.934</v>
      </c>
      <c r="AF75" s="55">
        <v>15309.940999999999</v>
      </c>
      <c r="AG75" s="57">
        <v>39029</v>
      </c>
      <c r="AH75" s="59">
        <v>26016</v>
      </c>
      <c r="AI75" s="57">
        <v>23692</v>
      </c>
      <c r="AJ75" s="57">
        <v>17806</v>
      </c>
      <c r="AK75" s="57">
        <v>25942</v>
      </c>
      <c r="AL75" s="199"/>
      <c r="AM75" s="854">
        <v>39771</v>
      </c>
      <c r="AN75" s="1338">
        <v>10065</v>
      </c>
      <c r="AO75" s="55">
        <v>29706</v>
      </c>
      <c r="AP75" s="46">
        <v>2.951415797317437</v>
      </c>
      <c r="AQ75" s="268"/>
      <c r="AR75" s="59">
        <v>25644</v>
      </c>
      <c r="AS75" s="415">
        <v>25193</v>
      </c>
      <c r="AT75" s="415">
        <v>114126.4503</v>
      </c>
      <c r="AU75" s="415">
        <v>42043</v>
      </c>
      <c r="AV75" s="415">
        <v>-1417</v>
      </c>
      <c r="AW75" s="415">
        <v>79346.395</v>
      </c>
      <c r="AX75" s="59">
        <v>93456</v>
      </c>
      <c r="AY75" s="59">
        <v>81150</v>
      </c>
      <c r="AZ75" s="59">
        <v>48579</v>
      </c>
      <c r="BA75" s="59">
        <v>40429</v>
      </c>
      <c r="BB75" s="760"/>
    </row>
    <row r="76" spans="1:54" ht="12.75" customHeight="1">
      <c r="A76" s="7"/>
      <c r="B76" s="7" t="s">
        <v>484</v>
      </c>
      <c r="C76" s="56">
        <v>-777.6499999999978</v>
      </c>
      <c r="D76" s="41">
        <v>-0.037485057072342946</v>
      </c>
      <c r="E76" s="591"/>
      <c r="F76" s="439"/>
      <c r="G76" s="440">
        <v>19967.95</v>
      </c>
      <c r="H76" s="55">
        <v>6192.3</v>
      </c>
      <c r="I76" s="57">
        <v>12413.9</v>
      </c>
      <c r="J76" s="439">
        <v>15657.05</v>
      </c>
      <c r="K76" s="55">
        <v>20745.6</v>
      </c>
      <c r="L76" s="55">
        <v>5864</v>
      </c>
      <c r="M76" s="1337">
        <v>-16059.3</v>
      </c>
      <c r="N76" s="439">
        <v>2306.1</v>
      </c>
      <c r="O76" s="55">
        <v>10825.125</v>
      </c>
      <c r="P76" s="55">
        <v>-1665</v>
      </c>
      <c r="Q76" s="57">
        <v>14125</v>
      </c>
      <c r="R76" s="55">
        <v>42253</v>
      </c>
      <c r="S76" s="55">
        <v>45604</v>
      </c>
      <c r="T76" s="55">
        <v>12078</v>
      </c>
      <c r="U76" s="57">
        <v>14191.4503</v>
      </c>
      <c r="V76" s="55">
        <v>11072</v>
      </c>
      <c r="W76" s="55">
        <v>15113</v>
      </c>
      <c r="X76" s="55"/>
      <c r="Y76" s="57"/>
      <c r="Z76" s="55"/>
      <c r="AA76" s="55"/>
      <c r="AB76" s="55"/>
      <c r="AC76" s="57"/>
      <c r="AD76" s="55"/>
      <c r="AE76" s="55"/>
      <c r="AF76" s="55"/>
      <c r="AG76" s="55"/>
      <c r="AH76" s="59"/>
      <c r="AI76" s="57"/>
      <c r="AJ76" s="57"/>
      <c r="AK76" s="57"/>
      <c r="AL76" s="199"/>
      <c r="AM76" s="854">
        <v>38574.15</v>
      </c>
      <c r="AN76" s="1338">
        <v>10550.3</v>
      </c>
      <c r="AO76" s="55">
        <v>28023.850000000002</v>
      </c>
      <c r="AP76" s="46">
        <v>2.6562135673867098</v>
      </c>
      <c r="AQ76" s="53"/>
      <c r="AR76" s="59">
        <v>26207.349999999995</v>
      </c>
      <c r="AS76" s="415">
        <v>25591.225</v>
      </c>
      <c r="AT76" s="59">
        <v>114126.4503</v>
      </c>
      <c r="AU76" s="59">
        <v>42043</v>
      </c>
      <c r="AV76" s="59">
        <v>-1417</v>
      </c>
      <c r="AW76" s="59">
        <v>79346.395</v>
      </c>
      <c r="AX76" s="59">
        <v>93256</v>
      </c>
      <c r="AY76" s="59"/>
      <c r="AZ76" s="59"/>
      <c r="BA76" s="59"/>
      <c r="BB76" s="760"/>
    </row>
    <row r="77" spans="1:54" ht="12.75" customHeight="1">
      <c r="A77" s="7"/>
      <c r="B77" s="7" t="s">
        <v>319</v>
      </c>
      <c r="C77" s="413">
        <v>-700.6499999999978</v>
      </c>
      <c r="D77" s="41">
        <v>-0.039478577385111104</v>
      </c>
      <c r="E77" s="49"/>
      <c r="F77" s="439"/>
      <c r="G77" s="440">
        <v>17046.95</v>
      </c>
      <c r="H77" s="55">
        <v>3271.3</v>
      </c>
      <c r="I77" s="57">
        <v>9453.9</v>
      </c>
      <c r="J77" s="439">
        <v>12770.05</v>
      </c>
      <c r="K77" s="55">
        <v>17747.6</v>
      </c>
      <c r="L77" s="55">
        <v>2866</v>
      </c>
      <c r="M77" s="1337">
        <v>-18896.3</v>
      </c>
      <c r="N77" s="439">
        <v>1199.1</v>
      </c>
      <c r="O77" s="440">
        <v>9007.125</v>
      </c>
      <c r="P77" s="440">
        <v>-3465</v>
      </c>
      <c r="Q77" s="886">
        <v>14035</v>
      </c>
      <c r="R77" s="439">
        <v>42253</v>
      </c>
      <c r="S77" s="440">
        <v>45604</v>
      </c>
      <c r="T77" s="440">
        <v>12078</v>
      </c>
      <c r="U77" s="886">
        <v>14191.4503</v>
      </c>
      <c r="V77" s="439">
        <v>11072</v>
      </c>
      <c r="W77" s="440">
        <v>15113</v>
      </c>
      <c r="X77" s="440">
        <v>6746</v>
      </c>
      <c r="Y77" s="886"/>
      <c r="Z77" s="440"/>
      <c r="AA77" s="440"/>
      <c r="AB77" s="440"/>
      <c r="AC77" s="886"/>
      <c r="AD77" s="56"/>
      <c r="AE77" s="55"/>
      <c r="AF77" s="55"/>
      <c r="AG77" s="57"/>
      <c r="AH77" s="59"/>
      <c r="AI77" s="57"/>
      <c r="AJ77" s="57"/>
      <c r="AK77" s="57"/>
      <c r="AL77" s="199"/>
      <c r="AM77" s="854">
        <v>29772.15</v>
      </c>
      <c r="AN77" s="1338">
        <v>1717.2999999999993</v>
      </c>
      <c r="AO77" s="55">
        <v>28054.850000000002</v>
      </c>
      <c r="AP77" s="46" t="s">
        <v>44</v>
      </c>
      <c r="AQ77" s="268"/>
      <c r="AR77" s="59">
        <v>14487.349999999995</v>
      </c>
      <c r="AS77" s="415">
        <v>20776.225</v>
      </c>
      <c r="AT77" s="415">
        <v>114126.4503</v>
      </c>
      <c r="AU77" s="415">
        <v>42043</v>
      </c>
      <c r="AV77" s="415">
        <v>-1417</v>
      </c>
      <c r="AW77" s="415">
        <v>79346.395</v>
      </c>
      <c r="AX77" s="415">
        <v>93256</v>
      </c>
      <c r="AY77" s="59"/>
      <c r="AZ77" s="59"/>
      <c r="BA77" s="59"/>
      <c r="BB77" s="760"/>
    </row>
    <row r="78" spans="1:54" ht="9.75" customHeight="1">
      <c r="A78" s="882"/>
      <c r="B78" s="2"/>
      <c r="C78" s="413"/>
      <c r="D78" s="414"/>
      <c r="E78" s="49"/>
      <c r="F78" s="492"/>
      <c r="G78" s="52"/>
      <c r="H78" s="52"/>
      <c r="I78" s="417"/>
      <c r="J78" s="492"/>
      <c r="K78" s="52"/>
      <c r="L78" s="52"/>
      <c r="M78" s="417"/>
      <c r="N78" s="492"/>
      <c r="O78" s="52"/>
      <c r="P78" s="52"/>
      <c r="Q78" s="417"/>
      <c r="R78" s="492"/>
      <c r="S78" s="52"/>
      <c r="T78" s="52"/>
      <c r="U78" s="417"/>
      <c r="V78" s="492"/>
      <c r="W78" s="1"/>
      <c r="X78" s="1"/>
      <c r="Y78" s="417"/>
      <c r="Z78" s="52"/>
      <c r="AA78" s="1"/>
      <c r="AB78" s="1"/>
      <c r="AC78" s="417"/>
      <c r="AD78" s="416"/>
      <c r="AE78" s="1"/>
      <c r="AF78" s="1"/>
      <c r="AG78" s="417"/>
      <c r="AH78" s="199"/>
      <c r="AI78" s="417"/>
      <c r="AJ78" s="417"/>
      <c r="AK78" s="417"/>
      <c r="AL78" s="199"/>
      <c r="AM78" s="1"/>
      <c r="AN78" s="1338"/>
      <c r="AO78" s="51"/>
      <c r="AP78" s="79"/>
      <c r="AQ78" s="268"/>
      <c r="AR78" s="199"/>
      <c r="AS78" s="199"/>
      <c r="AT78" s="199"/>
      <c r="AU78" s="199"/>
      <c r="AV78" s="199"/>
      <c r="AW78" s="199"/>
      <c r="AX78" s="199"/>
      <c r="AY78" s="199"/>
      <c r="AZ78" s="199"/>
      <c r="BA78" s="199"/>
      <c r="BB78" s="760"/>
    </row>
    <row r="79" spans="1:53" ht="12.75" customHeight="1">
      <c r="A79" s="142" t="s">
        <v>12</v>
      </c>
      <c r="B79" s="7"/>
      <c r="C79" s="413"/>
      <c r="D79" s="414"/>
      <c r="E79" s="49"/>
      <c r="F79" s="492"/>
      <c r="G79" s="52"/>
      <c r="H79" s="52"/>
      <c r="I79" s="886"/>
      <c r="J79" s="492"/>
      <c r="K79" s="52"/>
      <c r="L79" s="52"/>
      <c r="M79" s="886"/>
      <c r="N79" s="492"/>
      <c r="O79" s="52"/>
      <c r="P79" s="52"/>
      <c r="Q79" s="886"/>
      <c r="R79" s="492"/>
      <c r="S79" s="52"/>
      <c r="T79" s="52"/>
      <c r="U79" s="886"/>
      <c r="V79" s="492"/>
      <c r="W79" s="1"/>
      <c r="X79" s="1"/>
      <c r="Y79" s="417"/>
      <c r="Z79" s="52"/>
      <c r="AA79" s="1"/>
      <c r="AB79" s="1"/>
      <c r="AC79" s="417"/>
      <c r="AD79" s="416"/>
      <c r="AE79" s="1"/>
      <c r="AF79" s="1"/>
      <c r="AG79" s="417"/>
      <c r="AH79" s="199"/>
      <c r="AI79" s="417"/>
      <c r="AJ79" s="417"/>
      <c r="AK79" s="417"/>
      <c r="AL79" s="199"/>
      <c r="AM79" s="1"/>
      <c r="AN79" s="1"/>
      <c r="AO79" s="51"/>
      <c r="AP79" s="79"/>
      <c r="AQ79" s="268"/>
      <c r="AR79" s="199"/>
      <c r="AS79" s="199"/>
      <c r="AT79" s="199"/>
      <c r="AU79" s="199"/>
      <c r="AV79" s="199"/>
      <c r="AW79" s="199"/>
      <c r="AX79" s="199"/>
      <c r="AY79" s="199"/>
      <c r="AZ79" s="199"/>
      <c r="BA79" s="199"/>
    </row>
    <row r="80" spans="1:53" ht="12.75" customHeight="1">
      <c r="A80" s="7" t="s">
        <v>13</v>
      </c>
      <c r="B80" s="7"/>
      <c r="C80" s="413"/>
      <c r="D80" s="414"/>
      <c r="E80" s="49"/>
      <c r="F80" s="492"/>
      <c r="G80" s="52"/>
      <c r="H80" s="52"/>
      <c r="I80" s="417"/>
      <c r="J80" s="492"/>
      <c r="K80" s="52"/>
      <c r="L80" s="52"/>
      <c r="M80" s="417"/>
      <c r="N80" s="492"/>
      <c r="O80" s="52"/>
      <c r="P80" s="52"/>
      <c r="Q80" s="417"/>
      <c r="R80" s="492"/>
      <c r="S80" s="52"/>
      <c r="T80" s="52"/>
      <c r="U80" s="417"/>
      <c r="V80" s="492"/>
      <c r="W80" s="1"/>
      <c r="X80" s="1"/>
      <c r="Y80" s="417"/>
      <c r="Z80" s="52"/>
      <c r="AA80" s="1"/>
      <c r="AB80" s="1"/>
      <c r="AC80" s="417"/>
      <c r="AD80" s="416"/>
      <c r="AE80" s="1"/>
      <c r="AF80" s="1"/>
      <c r="AG80" s="417"/>
      <c r="AH80" s="199"/>
      <c r="AI80" s="417"/>
      <c r="AJ80" s="417"/>
      <c r="AK80" s="417"/>
      <c r="AL80" s="199"/>
      <c r="AM80" s="1"/>
      <c r="AN80" s="1"/>
      <c r="AO80" s="51"/>
      <c r="AP80" s="79"/>
      <c r="AQ80" s="268"/>
      <c r="AR80" s="199"/>
      <c r="AS80" s="199"/>
      <c r="AT80" s="199"/>
      <c r="AU80" s="199"/>
      <c r="AV80" s="199"/>
      <c r="AW80" s="199"/>
      <c r="AX80" s="199"/>
      <c r="AY80" s="199"/>
      <c r="AZ80" s="199"/>
      <c r="BA80" s="199"/>
    </row>
    <row r="81" spans="1:53" ht="12.75" customHeight="1">
      <c r="A81" s="7"/>
      <c r="B81" s="7" t="s">
        <v>14</v>
      </c>
      <c r="C81" s="87">
        <v>-0.010000000000000009</v>
      </c>
      <c r="D81" s="41">
        <v>-0.05263157894736847</v>
      </c>
      <c r="E81" s="591"/>
      <c r="F81" s="487"/>
      <c r="G81" s="482">
        <v>0.18</v>
      </c>
      <c r="H81" s="482">
        <v>0.03</v>
      </c>
      <c r="I81" s="672">
        <v>0.1</v>
      </c>
      <c r="J81" s="487">
        <v>0.14</v>
      </c>
      <c r="K81" s="482">
        <v>0.19</v>
      </c>
      <c r="L81" s="482">
        <v>0.03</v>
      </c>
      <c r="M81" s="672">
        <v>-0.2</v>
      </c>
      <c r="N81" s="487">
        <v>0.02</v>
      </c>
      <c r="O81" s="482">
        <v>0.12</v>
      </c>
      <c r="P81" s="482">
        <v>-0.05</v>
      </c>
      <c r="Q81" s="681">
        <v>0.19</v>
      </c>
      <c r="R81" s="487">
        <v>0.56</v>
      </c>
      <c r="S81" s="482">
        <v>0.61</v>
      </c>
      <c r="T81" s="482">
        <v>0.16</v>
      </c>
      <c r="U81" s="681">
        <v>0.21</v>
      </c>
      <c r="V81" s="487">
        <v>0.22</v>
      </c>
      <c r="W81" s="482">
        <v>0.31</v>
      </c>
      <c r="X81" s="482">
        <v>0.14</v>
      </c>
      <c r="Y81" s="417">
        <v>0.19</v>
      </c>
      <c r="Z81" s="482">
        <v>0.08</v>
      </c>
      <c r="AA81" s="482">
        <v>-0.33</v>
      </c>
      <c r="AB81" s="482">
        <v>-0.11</v>
      </c>
      <c r="AC81" s="417">
        <v>0.35</v>
      </c>
      <c r="AD81" s="416">
        <v>0.16</v>
      </c>
      <c r="AE81" s="51">
        <v>0.4013</v>
      </c>
      <c r="AF81" s="51">
        <v>0.3404</v>
      </c>
      <c r="AG81" s="61">
        <v>0.86</v>
      </c>
      <c r="AH81" s="48">
        <v>0.57</v>
      </c>
      <c r="AI81" s="61">
        <v>0.51</v>
      </c>
      <c r="AJ81" s="61">
        <v>0.39</v>
      </c>
      <c r="AK81" s="61">
        <v>0.57</v>
      </c>
      <c r="AL81" s="199"/>
      <c r="AM81" s="51">
        <v>0.32</v>
      </c>
      <c r="AN81" s="51">
        <v>0.02</v>
      </c>
      <c r="AO81" s="62">
        <v>0.3</v>
      </c>
      <c r="AP81" s="46" t="s">
        <v>44</v>
      </c>
      <c r="AQ81" s="268"/>
      <c r="AR81" s="48">
        <v>0.16</v>
      </c>
      <c r="AS81" s="48">
        <v>0.28</v>
      </c>
      <c r="AT81" s="48">
        <v>1.56</v>
      </c>
      <c r="AU81" s="48">
        <v>0.86</v>
      </c>
      <c r="AV81" s="48">
        <v>-0.03</v>
      </c>
      <c r="AW81" s="48">
        <v>1.77</v>
      </c>
      <c r="AX81" s="48">
        <v>2.03</v>
      </c>
      <c r="AY81" s="48">
        <v>1.82</v>
      </c>
      <c r="AZ81" s="48">
        <v>1.17</v>
      </c>
      <c r="BA81" s="48">
        <v>1.43</v>
      </c>
    </row>
    <row r="82" spans="1:53" ht="12.75" customHeight="1">
      <c r="A82" s="7"/>
      <c r="B82" s="7" t="s">
        <v>15</v>
      </c>
      <c r="C82" s="87">
        <v>0</v>
      </c>
      <c r="D82" s="41">
        <v>0</v>
      </c>
      <c r="E82" s="591"/>
      <c r="F82" s="487"/>
      <c r="G82" s="482">
        <v>0.17</v>
      </c>
      <c r="H82" s="482">
        <v>0.03</v>
      </c>
      <c r="I82" s="672">
        <v>0.09</v>
      </c>
      <c r="J82" s="487">
        <v>0.12</v>
      </c>
      <c r="K82" s="482">
        <v>0.17</v>
      </c>
      <c r="L82" s="482">
        <v>0.03</v>
      </c>
      <c r="M82" s="672">
        <v>-0.2</v>
      </c>
      <c r="N82" s="487">
        <v>0.02</v>
      </c>
      <c r="O82" s="482">
        <v>0.11</v>
      </c>
      <c r="P82" s="482">
        <v>-0.05</v>
      </c>
      <c r="Q82" s="681">
        <v>0.17</v>
      </c>
      <c r="R82" s="487">
        <v>0.5</v>
      </c>
      <c r="S82" s="482">
        <v>0.55</v>
      </c>
      <c r="T82" s="482">
        <v>0.15</v>
      </c>
      <c r="U82" s="681">
        <v>0.19</v>
      </c>
      <c r="V82" s="487">
        <v>0.21</v>
      </c>
      <c r="W82" s="482">
        <v>0.27</v>
      </c>
      <c r="X82" s="482">
        <v>0.12</v>
      </c>
      <c r="Y82" s="417">
        <v>0.16</v>
      </c>
      <c r="Z82" s="482">
        <v>0.07</v>
      </c>
      <c r="AA82" s="482">
        <v>-0.33</v>
      </c>
      <c r="AB82" s="482">
        <v>-0.11</v>
      </c>
      <c r="AC82" s="417">
        <v>0.31</v>
      </c>
      <c r="AD82" s="416">
        <v>0.15</v>
      </c>
      <c r="AE82" s="51">
        <v>0.359</v>
      </c>
      <c r="AF82" s="51">
        <v>0.3135</v>
      </c>
      <c r="AG82" s="61">
        <v>0.8</v>
      </c>
      <c r="AH82" s="48">
        <v>0.54</v>
      </c>
      <c r="AI82" s="61">
        <v>0.49</v>
      </c>
      <c r="AJ82" s="61">
        <v>0.37</v>
      </c>
      <c r="AK82" s="61">
        <v>0.54</v>
      </c>
      <c r="AL82" s="199"/>
      <c r="AM82" s="51">
        <v>0.29</v>
      </c>
      <c r="AN82" s="51">
        <v>0.02</v>
      </c>
      <c r="AO82" s="62">
        <v>0.26999999999999996</v>
      </c>
      <c r="AP82" s="46" t="s">
        <v>44</v>
      </c>
      <c r="AQ82" s="268"/>
      <c r="AR82" s="48">
        <v>0.14</v>
      </c>
      <c r="AS82" s="48">
        <v>0.25</v>
      </c>
      <c r="AT82" s="48">
        <v>1.4</v>
      </c>
      <c r="AU82" s="48">
        <v>0.76</v>
      </c>
      <c r="AV82" s="48">
        <v>-0.03</v>
      </c>
      <c r="AW82" s="48">
        <v>1.63</v>
      </c>
      <c r="AX82" s="48">
        <v>1.94</v>
      </c>
      <c r="AY82" s="48">
        <v>1.74</v>
      </c>
      <c r="AZ82" s="48">
        <v>1.11</v>
      </c>
      <c r="BA82" s="48">
        <v>1.12</v>
      </c>
    </row>
    <row r="83" spans="1:53" ht="9.75" customHeight="1">
      <c r="A83" s="882"/>
      <c r="B83" s="2"/>
      <c r="C83" s="413"/>
      <c r="D83" s="414"/>
      <c r="E83" s="49"/>
      <c r="F83" s="492"/>
      <c r="G83" s="52"/>
      <c r="H83" s="52"/>
      <c r="I83" s="417"/>
      <c r="J83" s="492"/>
      <c r="K83" s="52"/>
      <c r="L83" s="52"/>
      <c r="M83" s="417"/>
      <c r="N83" s="492"/>
      <c r="O83" s="52"/>
      <c r="P83" s="52"/>
      <c r="Q83" s="417"/>
      <c r="R83" s="492"/>
      <c r="S83" s="52"/>
      <c r="T83" s="52"/>
      <c r="U83" s="417"/>
      <c r="V83" s="492"/>
      <c r="W83" s="1"/>
      <c r="X83" s="1"/>
      <c r="Y83" s="417"/>
      <c r="Z83" s="52"/>
      <c r="AA83" s="1"/>
      <c r="AB83" s="1"/>
      <c r="AC83" s="417"/>
      <c r="AD83" s="416"/>
      <c r="AE83" s="1"/>
      <c r="AF83" s="1"/>
      <c r="AG83" s="417"/>
      <c r="AH83" s="199"/>
      <c r="AI83" s="417"/>
      <c r="AJ83" s="417"/>
      <c r="AK83" s="417"/>
      <c r="AL83" s="199"/>
      <c r="AM83" s="1"/>
      <c r="AN83" s="1"/>
      <c r="AO83" s="51"/>
      <c r="AP83" s="61"/>
      <c r="AQ83" s="268"/>
      <c r="AR83" s="199"/>
      <c r="AS83" s="199"/>
      <c r="AT83" s="199"/>
      <c r="AU83" s="199"/>
      <c r="AV83" s="199"/>
      <c r="AW83" s="199"/>
      <c r="AX83" s="199"/>
      <c r="AY83" s="199"/>
      <c r="AZ83" s="199"/>
      <c r="BA83" s="199"/>
    </row>
    <row r="84" spans="1:53" ht="12.75" customHeight="1">
      <c r="A84" s="142" t="s">
        <v>25</v>
      </c>
      <c r="B84" s="7"/>
      <c r="C84" s="413"/>
      <c r="D84" s="414"/>
      <c r="E84" s="49"/>
      <c r="F84" s="492"/>
      <c r="G84" s="52"/>
      <c r="H84" s="52"/>
      <c r="I84" s="417"/>
      <c r="J84" s="492"/>
      <c r="K84" s="52"/>
      <c r="L84" s="52"/>
      <c r="M84" s="417"/>
      <c r="N84" s="492"/>
      <c r="O84" s="52"/>
      <c r="P84" s="52"/>
      <c r="Q84" s="417"/>
      <c r="R84" s="492"/>
      <c r="S84" s="52"/>
      <c r="T84" s="52"/>
      <c r="U84" s="417"/>
      <c r="V84" s="492"/>
      <c r="W84" s="1"/>
      <c r="X84" s="1"/>
      <c r="Y84" s="417"/>
      <c r="Z84" s="52"/>
      <c r="AA84" s="1"/>
      <c r="AB84" s="1"/>
      <c r="AC84" s="417"/>
      <c r="AD84" s="416"/>
      <c r="AE84" s="1"/>
      <c r="AF84" s="1"/>
      <c r="AG84" s="417"/>
      <c r="AH84" s="199"/>
      <c r="AI84" s="417"/>
      <c r="AJ84" s="417"/>
      <c r="AK84" s="417"/>
      <c r="AL84" s="199"/>
      <c r="AM84" s="1"/>
      <c r="AN84" s="1"/>
      <c r="AO84" s="51"/>
      <c r="AP84" s="61"/>
      <c r="AQ84" s="268"/>
      <c r="AR84" s="199"/>
      <c r="AS84" s="199"/>
      <c r="AT84" s="199"/>
      <c r="AU84" s="199"/>
      <c r="AV84" s="199"/>
      <c r="AW84" s="199"/>
      <c r="AX84" s="199"/>
      <c r="AY84" s="199"/>
      <c r="AZ84" s="199"/>
      <c r="BA84" s="199"/>
    </row>
    <row r="85" spans="1:53" ht="12.75" customHeight="1" hidden="1">
      <c r="A85" s="556"/>
      <c r="B85" s="7" t="s">
        <v>26</v>
      </c>
      <c r="C85" s="87">
        <v>0</v>
      </c>
      <c r="D85" s="46" t="s">
        <v>409</v>
      </c>
      <c r="E85" s="591"/>
      <c r="F85" s="487"/>
      <c r="G85" s="482"/>
      <c r="H85" s="47"/>
      <c r="I85" s="46"/>
      <c r="J85" s="487"/>
      <c r="K85" s="482"/>
      <c r="L85" s="47"/>
      <c r="M85" s="46"/>
      <c r="N85" s="487"/>
      <c r="O85" s="482"/>
      <c r="P85" s="47"/>
      <c r="Q85" s="46"/>
      <c r="R85" s="487"/>
      <c r="S85" s="482"/>
      <c r="T85" s="47"/>
      <c r="U85" s="46">
        <v>0.05</v>
      </c>
      <c r="V85" s="487">
        <v>0.05</v>
      </c>
      <c r="W85" s="482">
        <v>0.05</v>
      </c>
      <c r="X85" s="482">
        <v>0.05</v>
      </c>
      <c r="Y85" s="46">
        <v>0</v>
      </c>
      <c r="Z85" s="47">
        <v>0</v>
      </c>
      <c r="AA85" s="47">
        <v>0</v>
      </c>
      <c r="AB85" s="47">
        <v>0</v>
      </c>
      <c r="AC85" s="435">
        <v>0.125</v>
      </c>
      <c r="AD85" s="416">
        <v>0.125</v>
      </c>
      <c r="AE85" s="76">
        <v>0.125</v>
      </c>
      <c r="AF85" s="37">
        <v>0.125</v>
      </c>
      <c r="AG85" s="418">
        <v>0.125</v>
      </c>
      <c r="AH85" s="48">
        <v>0.1</v>
      </c>
      <c r="AI85" s="61">
        <v>0.1</v>
      </c>
      <c r="AJ85" s="61">
        <v>0.08</v>
      </c>
      <c r="AK85" s="77">
        <v>0.08</v>
      </c>
      <c r="AL85" s="199"/>
      <c r="AM85" s="1"/>
      <c r="AN85" s="1"/>
      <c r="AO85" s="51">
        <v>0</v>
      </c>
      <c r="AP85" s="79">
        <v>-0.04</v>
      </c>
      <c r="AQ85" s="268"/>
      <c r="AR85" s="576"/>
      <c r="AS85" s="576"/>
      <c r="AT85" s="576">
        <v>0.15000000000000002</v>
      </c>
      <c r="AU85" s="576">
        <v>0.15</v>
      </c>
      <c r="AV85" s="501">
        <v>0.125</v>
      </c>
      <c r="AW85" s="48">
        <v>0.5</v>
      </c>
      <c r="AX85" s="48">
        <v>0.36</v>
      </c>
      <c r="AY85" s="48">
        <v>0.28</v>
      </c>
      <c r="AZ85" s="48">
        <v>0.26</v>
      </c>
      <c r="BA85" s="48">
        <v>0</v>
      </c>
    </row>
    <row r="86" spans="1:53" ht="12.75" customHeight="1" hidden="1">
      <c r="A86" s="7"/>
      <c r="B86" s="7" t="s">
        <v>27</v>
      </c>
      <c r="C86" s="434">
        <v>0</v>
      </c>
      <c r="D86" s="46" t="e">
        <v>#DIV/0!</v>
      </c>
      <c r="E86" s="591"/>
      <c r="F86" s="420"/>
      <c r="G86" s="47"/>
      <c r="H86" s="47"/>
      <c r="I86" s="46"/>
      <c r="J86" s="420"/>
      <c r="K86" s="47"/>
      <c r="L86" s="47"/>
      <c r="M86" s="46"/>
      <c r="N86" s="420"/>
      <c r="O86" s="47"/>
      <c r="P86" s="47"/>
      <c r="Q86" s="46"/>
      <c r="R86" s="420"/>
      <c r="S86" s="47"/>
      <c r="T86" s="47"/>
      <c r="U86" s="46">
        <v>0</v>
      </c>
      <c r="V86" s="420">
        <v>0</v>
      </c>
      <c r="W86" s="47">
        <v>0</v>
      </c>
      <c r="X86" s="47">
        <v>0</v>
      </c>
      <c r="Y86" s="46">
        <v>0</v>
      </c>
      <c r="Z86" s="47">
        <v>0</v>
      </c>
      <c r="AA86" s="47">
        <v>0</v>
      </c>
      <c r="AB86" s="47">
        <v>0</v>
      </c>
      <c r="AC86" s="46">
        <v>0</v>
      </c>
      <c r="AD86" s="60">
        <v>0</v>
      </c>
      <c r="AE86" s="51">
        <v>0</v>
      </c>
      <c r="AF86" s="51">
        <v>0</v>
      </c>
      <c r="AG86" s="419">
        <v>0</v>
      </c>
      <c r="AH86" s="48">
        <v>0</v>
      </c>
      <c r="AI86" s="61">
        <v>0</v>
      </c>
      <c r="AJ86" s="61">
        <v>0</v>
      </c>
      <c r="AK86" s="61">
        <v>0</v>
      </c>
      <c r="AL86" s="199"/>
      <c r="AM86" s="1"/>
      <c r="AN86" s="1"/>
      <c r="AO86" s="78">
        <v>0</v>
      </c>
      <c r="AP86" s="419">
        <v>0</v>
      </c>
      <c r="AQ86" s="268"/>
      <c r="AR86" s="48"/>
      <c r="AS86" s="48"/>
      <c r="AT86" s="48">
        <v>0</v>
      </c>
      <c r="AU86" s="48"/>
      <c r="AV86" s="48">
        <v>0</v>
      </c>
      <c r="AW86" s="48">
        <v>0</v>
      </c>
      <c r="AX86" s="48">
        <v>0</v>
      </c>
      <c r="AY86" s="48">
        <v>0</v>
      </c>
      <c r="AZ86" s="48">
        <v>0.15</v>
      </c>
      <c r="BA86" s="48">
        <v>0</v>
      </c>
    </row>
    <row r="87" spans="1:53" ht="12.75" customHeight="1" hidden="1">
      <c r="A87" s="556"/>
      <c r="B87" s="11" t="s">
        <v>28</v>
      </c>
      <c r="C87" s="54">
        <v>0</v>
      </c>
      <c r="D87" s="46"/>
      <c r="E87" s="591"/>
      <c r="F87" s="420"/>
      <c r="G87" s="47"/>
      <c r="H87" s="47"/>
      <c r="I87" s="46"/>
      <c r="J87" s="420"/>
      <c r="K87" s="47"/>
      <c r="L87" s="47"/>
      <c r="M87" s="46"/>
      <c r="N87" s="420"/>
      <c r="O87" s="47"/>
      <c r="P87" s="47"/>
      <c r="Q87" s="46"/>
      <c r="R87" s="420"/>
      <c r="S87" s="47"/>
      <c r="T87" s="47"/>
      <c r="U87" s="46">
        <v>0.021299254526091587</v>
      </c>
      <c r="V87" s="420">
        <v>0.018</v>
      </c>
      <c r="W87" s="47">
        <v>0.019</v>
      </c>
      <c r="X87" s="47">
        <v>0.02</v>
      </c>
      <c r="Y87" s="46">
        <v>0</v>
      </c>
      <c r="Z87" s="47">
        <v>0</v>
      </c>
      <c r="AA87" s="47">
        <v>0</v>
      </c>
      <c r="AB87" s="47">
        <v>0</v>
      </c>
      <c r="AC87" s="46">
        <v>0.0629</v>
      </c>
      <c r="AD87" s="420">
        <v>0.051</v>
      </c>
      <c r="AE87" s="53">
        <v>0.033</v>
      </c>
      <c r="AF87" s="53">
        <v>0.0263</v>
      </c>
      <c r="AG87" s="74">
        <v>0.024</v>
      </c>
      <c r="AH87" s="50">
        <v>0.018</v>
      </c>
      <c r="AI87" s="79">
        <v>0.022</v>
      </c>
      <c r="AJ87" s="79">
        <v>0.019</v>
      </c>
      <c r="AK87" s="74">
        <v>0.018</v>
      </c>
      <c r="AL87" s="199"/>
      <c r="AM87" s="1"/>
      <c r="AN87" s="1"/>
      <c r="AO87" s="400">
        <v>1.6642857142857146</v>
      </c>
      <c r="AP87" s="46" t="s">
        <v>44</v>
      </c>
      <c r="AQ87" s="268"/>
      <c r="AR87" s="49"/>
      <c r="AS87" s="49"/>
      <c r="AT87" s="49">
        <v>0.019642857142857146</v>
      </c>
      <c r="AU87" s="49">
        <v>0.003</v>
      </c>
      <c r="AV87" s="49">
        <v>0.023</v>
      </c>
      <c r="AW87" s="49">
        <v>0.051</v>
      </c>
      <c r="AX87" s="49">
        <v>0.016</v>
      </c>
      <c r="AY87" s="49">
        <v>0.013</v>
      </c>
      <c r="AZ87" s="50">
        <v>0.0248</v>
      </c>
      <c r="BA87" s="48">
        <v>0</v>
      </c>
    </row>
    <row r="88" spans="1:53" ht="13.5" customHeight="1">
      <c r="A88" s="556"/>
      <c r="B88" s="11" t="s">
        <v>298</v>
      </c>
      <c r="C88" s="54">
        <v>0.9835144054802347</v>
      </c>
      <c r="D88" s="46"/>
      <c r="E88" s="591"/>
      <c r="F88" s="441"/>
      <c r="G88" s="47">
        <v>0.2986426926810955</v>
      </c>
      <c r="H88" s="41">
        <v>1.5669572035582187</v>
      </c>
      <c r="I88" s="30">
        <v>0.547764382953067</v>
      </c>
      <c r="J88" s="441">
        <v>0.40288085011413427</v>
      </c>
      <c r="K88" s="41">
        <v>0.28880754862629315</v>
      </c>
      <c r="L88" s="41">
        <v>1.7861383112351712</v>
      </c>
      <c r="M88" s="30">
        <v>-0.269975077131502</v>
      </c>
      <c r="N88" s="441">
        <v>8.480420398632308</v>
      </c>
      <c r="O88" s="41">
        <v>0.9260719263916067</v>
      </c>
      <c r="P88" s="41">
        <v>-2.405</v>
      </c>
      <c r="Q88" s="30">
        <v>0.5920729675810474</v>
      </c>
      <c r="R88" s="441">
        <v>0.1959860838283672</v>
      </c>
      <c r="S88" s="41">
        <v>0.13588610648188756</v>
      </c>
      <c r="T88" s="41">
        <v>0.34174946183142907</v>
      </c>
      <c r="U88" s="30">
        <v>0.28999125621431376</v>
      </c>
      <c r="V88" s="441">
        <v>0.384</v>
      </c>
      <c r="W88" s="41">
        <v>0.189</v>
      </c>
      <c r="X88" s="41">
        <v>0.424</v>
      </c>
      <c r="Y88" s="30">
        <v>0</v>
      </c>
      <c r="Z88" s="41">
        <v>0</v>
      </c>
      <c r="AA88" s="41">
        <v>0</v>
      </c>
      <c r="AB88" s="41">
        <v>0</v>
      </c>
      <c r="AC88" s="30">
        <v>0.436</v>
      </c>
      <c r="AD88" s="441">
        <v>0.863</v>
      </c>
      <c r="AE88" s="35">
        <v>0.408</v>
      </c>
      <c r="AF88" s="35">
        <v>0.492</v>
      </c>
      <c r="AG88" s="1399">
        <v>0.157</v>
      </c>
      <c r="AH88" s="593">
        <v>0.185</v>
      </c>
      <c r="AI88" s="1399">
        <v>0.203</v>
      </c>
      <c r="AJ88" s="1399">
        <v>0.216</v>
      </c>
      <c r="AK88" s="1399">
        <v>0.148</v>
      </c>
      <c r="AL88" s="86"/>
      <c r="AM88" s="11">
        <v>0.5171089037909591</v>
      </c>
      <c r="AN88" s="35">
        <v>8.936</v>
      </c>
      <c r="AO88" s="400" t="s">
        <v>44</v>
      </c>
      <c r="AP88" s="46"/>
      <c r="AQ88" s="268"/>
      <c r="AR88" s="671">
        <v>1.4144099438475644</v>
      </c>
      <c r="AS88" s="671">
        <v>1.6919354406298548</v>
      </c>
      <c r="AT88" s="671">
        <v>0.1990861578562564</v>
      </c>
      <c r="AU88" s="506">
        <v>0.224</v>
      </c>
      <c r="AV88" s="506" t="s">
        <v>44</v>
      </c>
      <c r="AW88" s="49">
        <v>0.309</v>
      </c>
      <c r="AX88" s="50">
        <v>0.185</v>
      </c>
      <c r="AY88" s="50">
        <v>0.162</v>
      </c>
      <c r="AZ88" s="50">
        <v>0.247</v>
      </c>
      <c r="BA88" s="48">
        <v>0</v>
      </c>
    </row>
    <row r="89" spans="1:53" ht="12.75" customHeight="1" hidden="1">
      <c r="A89" s="556"/>
      <c r="B89" s="11" t="s">
        <v>164</v>
      </c>
      <c r="C89" s="54">
        <v>-9.73921180399141</v>
      </c>
      <c r="D89" s="46"/>
      <c r="E89" s="591"/>
      <c r="F89" s="420"/>
      <c r="G89" s="891"/>
      <c r="H89" s="41"/>
      <c r="I89" s="30"/>
      <c r="J89" s="441"/>
      <c r="K89" s="1403"/>
      <c r="L89" s="41"/>
      <c r="M89" s="30"/>
      <c r="N89" s="441"/>
      <c r="O89" s="41"/>
      <c r="P89" s="41"/>
      <c r="Q89" s="30"/>
      <c r="R89" s="441"/>
      <c r="S89" s="41"/>
      <c r="T89" s="41"/>
      <c r="U89" s="30">
        <v>0.10249610679890299</v>
      </c>
      <c r="V89" s="441">
        <v>0.11192033795883191</v>
      </c>
      <c r="W89" s="41">
        <v>0.15200860138677713</v>
      </c>
      <c r="X89" s="41">
        <v>0.06919155953401067</v>
      </c>
      <c r="Y89" s="30">
        <v>0.0973921180399141</v>
      </c>
      <c r="Z89" s="41">
        <v>0.04177146702872294</v>
      </c>
      <c r="AA89" s="41">
        <v>-0.16696019195523099</v>
      </c>
      <c r="AB89" s="41">
        <v>-0.05</v>
      </c>
      <c r="AC89" s="41">
        <v>0.157</v>
      </c>
      <c r="AD89" s="441"/>
      <c r="AE89" s="35"/>
      <c r="AF89" s="35"/>
      <c r="AG89" s="1399"/>
      <c r="AH89" s="593"/>
      <c r="AI89" s="1399"/>
      <c r="AJ89" s="1399"/>
      <c r="AK89" s="1399"/>
      <c r="AL89" s="86"/>
      <c r="AM89" s="890"/>
      <c r="AN89" s="894"/>
      <c r="AO89" s="400"/>
      <c r="AP89" s="46"/>
      <c r="AQ89" s="268"/>
      <c r="AR89" s="506"/>
      <c r="AS89" s="506"/>
      <c r="AT89" s="506"/>
      <c r="AU89" s="506">
        <v>0.10808038612073342</v>
      </c>
      <c r="AV89" s="506">
        <v>-0.0038814048658628113</v>
      </c>
      <c r="AW89" s="506">
        <v>0.21749504889431018</v>
      </c>
      <c r="AX89" s="506">
        <v>0.2831909893776107</v>
      </c>
      <c r="AY89" s="50">
        <v>0.336</v>
      </c>
      <c r="AZ89" s="50"/>
      <c r="BA89" s="48"/>
    </row>
    <row r="90" spans="1:53" ht="13.5" customHeight="1">
      <c r="A90" s="10"/>
      <c r="B90" s="7" t="s">
        <v>257</v>
      </c>
      <c r="C90" s="90">
        <v>-318.04878048780506</v>
      </c>
      <c r="D90" s="41">
        <v>-0.9493993447397161</v>
      </c>
      <c r="E90" s="591"/>
      <c r="F90" s="574"/>
      <c r="G90" s="894">
        <v>16.95121951219512</v>
      </c>
      <c r="H90" s="36">
        <v>16.17073170731707</v>
      </c>
      <c r="I90" s="1400">
        <v>13.926829268292682</v>
      </c>
      <c r="J90" s="1404">
        <v>56.833333333333336</v>
      </c>
      <c r="K90" s="894">
        <v>335.00000000000017</v>
      </c>
      <c r="L90" s="1405">
        <v>-141.99999999999997</v>
      </c>
      <c r="M90" s="1400">
        <v>-45.83333333333333</v>
      </c>
      <c r="N90" s="1404">
        <v>33.2</v>
      </c>
      <c r="O90" s="894">
        <v>10.684931506849315</v>
      </c>
      <c r="P90" s="894">
        <v>8.162393162393164</v>
      </c>
      <c r="Q90" s="1400">
        <v>9.021897810218977</v>
      </c>
      <c r="R90" s="1404">
        <v>10.071942446043165</v>
      </c>
      <c r="S90" s="894">
        <v>13.74757281553398</v>
      </c>
      <c r="T90" s="894">
        <v>13.826666666666664</v>
      </c>
      <c r="U90" s="1400">
        <v>13.041666666666668</v>
      </c>
      <c r="V90" s="1404">
        <v>14.6</v>
      </c>
      <c r="W90" s="894">
        <v>16.7</v>
      </c>
      <c r="X90" s="36">
        <v>-13.6</v>
      </c>
      <c r="Y90" s="1400">
        <v>-6</v>
      </c>
      <c r="Z90" s="894">
        <v>1.1</v>
      </c>
      <c r="AA90" s="894">
        <v>7.1</v>
      </c>
      <c r="AB90" s="894">
        <v>8.1</v>
      </c>
      <c r="AC90" s="1401">
        <v>7.3</v>
      </c>
      <c r="AD90" s="1406">
        <v>7.3</v>
      </c>
      <c r="AE90" s="36">
        <v>7.6119</v>
      </c>
      <c r="AF90" s="36">
        <v>8.8692</v>
      </c>
      <c r="AG90" s="1400">
        <v>9.5</v>
      </c>
      <c r="AH90" s="1402">
        <v>11.4</v>
      </c>
      <c r="AI90" s="1400">
        <v>9.2</v>
      </c>
      <c r="AJ90" s="1400">
        <v>8.3</v>
      </c>
      <c r="AK90" s="1400">
        <v>8.7</v>
      </c>
      <c r="AL90" s="86"/>
      <c r="AM90" s="893">
        <v>16.95121951219512</v>
      </c>
      <c r="AN90" s="36">
        <v>335</v>
      </c>
      <c r="AO90" s="80">
        <v>-318.0487804878049</v>
      </c>
      <c r="AP90" s="46">
        <v>-0.9493993447397161</v>
      </c>
      <c r="AQ90" s="268"/>
      <c r="AR90" s="82">
        <v>56.833333333333336</v>
      </c>
      <c r="AS90" s="82">
        <v>33.2</v>
      </c>
      <c r="AT90" s="82">
        <v>10.071942446043165</v>
      </c>
      <c r="AU90" s="82">
        <v>14.6</v>
      </c>
      <c r="AV90" s="82">
        <v>1.1</v>
      </c>
      <c r="AW90" s="82">
        <v>7.3</v>
      </c>
      <c r="AX90" s="82">
        <v>11.4</v>
      </c>
      <c r="AY90" s="82">
        <v>12</v>
      </c>
      <c r="AZ90" s="82">
        <v>9.5273</v>
      </c>
      <c r="BA90" s="82">
        <v>0</v>
      </c>
    </row>
    <row r="91" spans="1:53" ht="12.75" customHeight="1">
      <c r="A91" s="882"/>
      <c r="B91" s="2"/>
      <c r="C91" s="879"/>
      <c r="D91" s="880"/>
      <c r="E91" s="199"/>
      <c r="F91" s="879"/>
      <c r="G91" s="481"/>
      <c r="H91" s="481"/>
      <c r="I91" s="880"/>
      <c r="J91" s="879"/>
      <c r="K91" s="481"/>
      <c r="L91" s="481"/>
      <c r="M91" s="880"/>
      <c r="N91" s="879"/>
      <c r="O91" s="481"/>
      <c r="P91" s="481"/>
      <c r="Q91" s="880"/>
      <c r="R91" s="879"/>
      <c r="S91" s="481"/>
      <c r="T91" s="481"/>
      <c r="U91" s="880"/>
      <c r="V91" s="879"/>
      <c r="W91" s="481"/>
      <c r="X91" s="481"/>
      <c r="Y91" s="880"/>
      <c r="Z91" s="481"/>
      <c r="AA91" s="481"/>
      <c r="AB91" s="481"/>
      <c r="AC91" s="880"/>
      <c r="AD91" s="879"/>
      <c r="AE91" s="481"/>
      <c r="AF91" s="481"/>
      <c r="AG91" s="880"/>
      <c r="AH91" s="405"/>
      <c r="AI91" s="880"/>
      <c r="AJ91" s="880"/>
      <c r="AK91" s="880"/>
      <c r="AL91" s="199"/>
      <c r="AM91" s="879"/>
      <c r="AN91" s="481"/>
      <c r="AO91" s="401"/>
      <c r="AP91" s="402"/>
      <c r="AQ91" s="268"/>
      <c r="AR91" s="405"/>
      <c r="AS91" s="405"/>
      <c r="AT91" s="405"/>
      <c r="AU91" s="405"/>
      <c r="AV91" s="405"/>
      <c r="AW91" s="405"/>
      <c r="AX91" s="405"/>
      <c r="AY91" s="405"/>
      <c r="AZ91" s="405"/>
      <c r="BA91" s="405"/>
    </row>
    <row r="92" spans="1:53" ht="12.75">
      <c r="A92" s="1" t="s">
        <v>30</v>
      </c>
      <c r="B92" s="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268"/>
      <c r="AG92" s="268"/>
      <c r="AH92" s="268"/>
      <c r="AI92" s="268"/>
      <c r="AJ92" s="268"/>
      <c r="AK92" s="268"/>
      <c r="AL92" s="268"/>
      <c r="AM92" s="268"/>
      <c r="AN92" s="268"/>
      <c r="AO92" s="268"/>
      <c r="AP92" s="268"/>
      <c r="AQ92" s="268"/>
      <c r="AR92" s="268"/>
      <c r="AS92" s="268"/>
      <c r="AT92" s="268"/>
      <c r="AU92" s="268"/>
      <c r="AV92" s="268"/>
      <c r="AW92" s="268"/>
      <c r="AX92" s="268"/>
      <c r="AY92" s="268"/>
      <c r="AZ92" s="268"/>
      <c r="BA92" s="268"/>
    </row>
    <row r="93" spans="1:50" ht="12.75">
      <c r="A93" s="1" t="s">
        <v>31</v>
      </c>
      <c r="B93" s="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2"/>
      <c r="AE93" s="2"/>
      <c r="AW93" s="15"/>
      <c r="AX93" s="15"/>
    </row>
    <row r="94" spans="1:50" ht="9.75" customHeight="1">
      <c r="A94" s="2"/>
      <c r="B94" s="2"/>
      <c r="C94" s="1"/>
      <c r="D94" s="1"/>
      <c r="E94" s="1"/>
      <c r="F94" s="1"/>
      <c r="G94" s="1"/>
      <c r="H94" s="1"/>
      <c r="I94" s="1"/>
      <c r="J94" s="1"/>
      <c r="K94" s="1"/>
      <c r="L94" s="1"/>
      <c r="M94" s="1"/>
      <c r="N94" s="1"/>
      <c r="O94" s="1"/>
      <c r="P94" s="1"/>
      <c r="Q94" s="1"/>
      <c r="R94" s="1"/>
      <c r="S94" s="1"/>
      <c r="T94" s="1"/>
      <c r="U94" s="1"/>
      <c r="V94" s="1"/>
      <c r="W94" s="1"/>
      <c r="X94" s="1"/>
      <c r="Y94" s="1"/>
      <c r="Z94" s="1"/>
      <c r="AA94" s="1"/>
      <c r="AB94" s="1"/>
      <c r="AC94" s="406"/>
      <c r="AD94" s="15"/>
      <c r="AE94" s="15"/>
      <c r="AF94" s="15"/>
      <c r="AG94" s="15"/>
      <c r="AH94" s="15"/>
      <c r="AI94" s="15"/>
      <c r="AJ94" s="15"/>
      <c r="AK94" s="15"/>
      <c r="AL94" s="2"/>
      <c r="AM94" s="2"/>
      <c r="AN94" s="2"/>
      <c r="AW94" s="15"/>
      <c r="AX94" s="15"/>
    </row>
    <row r="95" spans="1:50" ht="12.75">
      <c r="A95" s="7" t="s">
        <v>405</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5"/>
      <c r="AD95" s="15"/>
      <c r="AE95" s="15"/>
      <c r="AF95" s="15"/>
      <c r="AG95" s="15"/>
      <c r="AH95" s="15"/>
      <c r="AI95" s="15"/>
      <c r="AJ95" s="15"/>
      <c r="AK95" s="15"/>
      <c r="AL95" s="2"/>
      <c r="AM95" s="2"/>
      <c r="AN95" s="2"/>
      <c r="AW95" s="2"/>
      <c r="AX95" s="2"/>
    </row>
    <row r="96" spans="1:50" ht="12.75">
      <c r="A96" s="2"/>
      <c r="B96" s="2"/>
      <c r="C96" s="2"/>
      <c r="D96" s="2"/>
      <c r="AC96" s="2"/>
      <c r="AD96" s="2"/>
      <c r="AE96" s="2"/>
      <c r="AF96" s="2"/>
      <c r="AG96" s="2"/>
      <c r="AH96" s="2"/>
      <c r="AI96" s="2"/>
      <c r="AJ96" s="2"/>
      <c r="AK96" s="2"/>
      <c r="AL96" s="2"/>
      <c r="AM96" s="2"/>
      <c r="AN96" s="2"/>
      <c r="AW96" s="31"/>
      <c r="AX96" s="31"/>
    </row>
    <row r="97" spans="1:50" ht="15">
      <c r="A97" s="556"/>
      <c r="B97" s="887"/>
      <c r="AC97" s="31"/>
      <c r="AD97" s="31"/>
      <c r="AE97" s="31"/>
      <c r="AF97" s="31"/>
      <c r="AG97" s="31"/>
      <c r="AH97" s="31"/>
      <c r="AI97" s="31"/>
      <c r="AJ97" s="31"/>
      <c r="AK97" s="31"/>
      <c r="AL97" s="2"/>
      <c r="AM97" s="2"/>
      <c r="AN97" s="2"/>
      <c r="AW97" s="31"/>
      <c r="AX97" s="31"/>
    </row>
    <row r="98" spans="6:50" ht="12.75">
      <c r="F98" s="888"/>
      <c r="J98" s="888"/>
      <c r="N98" s="888"/>
      <c r="AC98" s="31"/>
      <c r="AD98" s="31"/>
      <c r="AE98" s="31"/>
      <c r="AF98" s="31"/>
      <c r="AG98" s="31"/>
      <c r="AH98" s="31"/>
      <c r="AI98" s="31"/>
      <c r="AJ98" s="31"/>
      <c r="AK98" s="31"/>
      <c r="AL98" s="2"/>
      <c r="AM98" s="2"/>
      <c r="AN98" s="2"/>
      <c r="AW98" s="31"/>
      <c r="AX98" s="31"/>
    </row>
    <row r="99" spans="6:50" ht="12.75">
      <c r="F99" s="888"/>
      <c r="J99" s="888"/>
      <c r="N99" s="888"/>
      <c r="AC99" s="31"/>
      <c r="AD99" s="31"/>
      <c r="AE99" s="31"/>
      <c r="AF99" s="31"/>
      <c r="AG99" s="31"/>
      <c r="AH99" s="31"/>
      <c r="AI99" s="31"/>
      <c r="AJ99" s="31"/>
      <c r="AK99" s="31"/>
      <c r="AL99" s="2"/>
      <c r="AM99" s="2"/>
      <c r="AN99" s="2"/>
      <c r="AW99" s="31"/>
      <c r="AX99" s="31"/>
    </row>
    <row r="100" spans="6:50" ht="12.75">
      <c r="F100" s="888"/>
      <c r="H100" s="36"/>
      <c r="J100" s="888"/>
      <c r="N100" s="888"/>
      <c r="AC100" s="31"/>
      <c r="AD100" s="31"/>
      <c r="AE100" s="31"/>
      <c r="AF100" s="31"/>
      <c r="AG100" s="31"/>
      <c r="AH100" s="31"/>
      <c r="AI100" s="31"/>
      <c r="AJ100" s="31"/>
      <c r="AK100" s="31"/>
      <c r="AL100" s="2"/>
      <c r="AM100" s="2"/>
      <c r="AN100" s="2"/>
      <c r="AW100" s="2"/>
      <c r="AX100" s="2"/>
    </row>
    <row r="101" spans="6:50" ht="12.75">
      <c r="F101" s="888"/>
      <c r="J101" s="888"/>
      <c r="N101" s="888"/>
      <c r="AC101" s="2"/>
      <c r="AD101" s="2"/>
      <c r="AE101" s="2"/>
      <c r="AF101" s="2"/>
      <c r="AG101" s="2"/>
      <c r="AH101" s="2"/>
      <c r="AI101" s="2"/>
      <c r="AJ101" s="2"/>
      <c r="AK101" s="2"/>
      <c r="AL101" s="2"/>
      <c r="AM101" s="2"/>
      <c r="AN101" s="2"/>
      <c r="AW101" s="2"/>
      <c r="AX101" s="2"/>
    </row>
    <row r="102" spans="29:50" ht="12.75">
      <c r="AC102" s="2"/>
      <c r="AD102" s="2"/>
      <c r="AE102" s="2"/>
      <c r="AF102" s="2"/>
      <c r="AG102" s="2"/>
      <c r="AH102" s="2"/>
      <c r="AI102" s="2"/>
      <c r="AJ102" s="2"/>
      <c r="AK102" s="2"/>
      <c r="AL102" s="2"/>
      <c r="AM102" s="2"/>
      <c r="AN102" s="2"/>
      <c r="AW102" s="2"/>
      <c r="AX102" s="2"/>
    </row>
    <row r="103" spans="29:50" ht="12.75">
      <c r="AC103" s="2"/>
      <c r="AD103" s="2"/>
      <c r="AE103" s="2"/>
      <c r="AF103" s="2"/>
      <c r="AG103" s="2"/>
      <c r="AH103" s="2"/>
      <c r="AI103" s="2"/>
      <c r="AJ103" s="2"/>
      <c r="AK103" s="2"/>
      <c r="AL103" s="2"/>
      <c r="AM103" s="2"/>
      <c r="AN103" s="2"/>
      <c r="AW103" s="32"/>
      <c r="AX103" s="32"/>
    </row>
    <row r="104" spans="29:50" ht="12.75">
      <c r="AC104" s="32"/>
      <c r="AD104" s="32"/>
      <c r="AE104" s="32"/>
      <c r="AF104" s="32"/>
      <c r="AG104" s="32"/>
      <c r="AH104" s="32"/>
      <c r="AI104" s="32"/>
      <c r="AJ104" s="32"/>
      <c r="AK104" s="7"/>
      <c r="AL104" s="2"/>
      <c r="AM104" s="2"/>
      <c r="AN104" s="2"/>
      <c r="AW104" s="32"/>
      <c r="AX104" s="32"/>
    </row>
    <row r="105" spans="29:50" ht="12.75">
      <c r="AC105" s="32"/>
      <c r="AD105" s="32"/>
      <c r="AE105" s="32"/>
      <c r="AF105" s="32"/>
      <c r="AG105" s="32"/>
      <c r="AH105" s="32"/>
      <c r="AI105" s="32"/>
      <c r="AJ105" s="32"/>
      <c r="AK105" s="7"/>
      <c r="AL105" s="2"/>
      <c r="AM105" s="2"/>
      <c r="AN105" s="2"/>
      <c r="AW105" s="32"/>
      <c r="AX105" s="32"/>
    </row>
    <row r="106" spans="29:50" ht="12.75">
      <c r="AC106" s="33"/>
      <c r="AD106" s="33"/>
      <c r="AE106" s="33"/>
      <c r="AF106" s="33"/>
      <c r="AG106" s="33"/>
      <c r="AH106" s="33"/>
      <c r="AI106" s="33"/>
      <c r="AJ106" s="33"/>
      <c r="AK106" s="33"/>
      <c r="AL106" s="2"/>
      <c r="AM106" s="2"/>
      <c r="AN106" s="2"/>
      <c r="AW106" s="2"/>
      <c r="AX106" s="2"/>
    </row>
    <row r="107" spans="29:50" ht="12.75">
      <c r="AC107" s="2"/>
      <c r="AD107" s="2"/>
      <c r="AE107" s="2"/>
      <c r="AF107" s="2"/>
      <c r="AG107" s="2"/>
      <c r="AH107" s="2"/>
      <c r="AI107" s="2"/>
      <c r="AJ107" s="2"/>
      <c r="AK107" s="2"/>
      <c r="AL107" s="2"/>
      <c r="AM107" s="2"/>
      <c r="AN107" s="2"/>
      <c r="AW107" s="2"/>
      <c r="AX107" s="2"/>
    </row>
    <row r="108" spans="29:50" ht="12.75">
      <c r="AC108" s="2"/>
      <c r="AD108" s="2"/>
      <c r="AE108" s="2"/>
      <c r="AF108" s="2"/>
      <c r="AG108" s="2"/>
      <c r="AH108" s="2"/>
      <c r="AI108" s="2"/>
      <c r="AJ108" s="2"/>
      <c r="AK108" s="2"/>
      <c r="AL108" s="2"/>
      <c r="AM108" s="2"/>
      <c r="AN108" s="2"/>
      <c r="AW108" s="51"/>
      <c r="AX108" s="51"/>
    </row>
    <row r="109" spans="29:50" ht="12.75">
      <c r="AC109" s="32"/>
      <c r="AD109" s="44"/>
      <c r="AE109" s="32"/>
      <c r="AF109" s="32"/>
      <c r="AG109" s="32"/>
      <c r="AH109" s="37"/>
      <c r="AI109" s="37"/>
      <c r="AJ109" s="34"/>
      <c r="AK109" s="1"/>
      <c r="AL109" s="2"/>
      <c r="AM109" s="2"/>
      <c r="AN109" s="2"/>
      <c r="AW109" s="51"/>
      <c r="AX109" s="51"/>
    </row>
    <row r="110" spans="29:50" ht="12.75">
      <c r="AC110" s="32"/>
      <c r="AD110" s="32"/>
      <c r="AE110" s="32"/>
      <c r="AF110" s="32"/>
      <c r="AG110" s="32"/>
      <c r="AH110" s="40"/>
      <c r="AI110" s="32"/>
      <c r="AJ110" s="32"/>
      <c r="AK110" s="32"/>
      <c r="AL110" s="2"/>
      <c r="AM110" s="2"/>
      <c r="AN110" s="2"/>
      <c r="AW110" s="52"/>
      <c r="AX110" s="52"/>
    </row>
    <row r="111" spans="29:50" ht="12.75">
      <c r="AC111" s="11"/>
      <c r="AD111" s="42"/>
      <c r="AE111" s="35"/>
      <c r="AF111" s="35"/>
      <c r="AG111" s="35"/>
      <c r="AH111" s="42"/>
      <c r="AI111" s="35"/>
      <c r="AJ111" s="35"/>
      <c r="AK111" s="47"/>
      <c r="AL111" s="2"/>
      <c r="AM111" s="2"/>
      <c r="AN111" s="2"/>
      <c r="AW111" s="53"/>
      <c r="AX111" s="53"/>
    </row>
    <row r="112" spans="29:50" ht="12.75">
      <c r="AC112" s="11"/>
      <c r="AD112" s="35"/>
      <c r="AE112" s="35"/>
      <c r="AF112" s="35"/>
      <c r="AG112" s="35"/>
      <c r="AH112" s="35"/>
      <c r="AI112" s="35"/>
      <c r="AJ112" s="35"/>
      <c r="AK112" s="47"/>
      <c r="AL112" s="2"/>
      <c r="AM112" s="2"/>
      <c r="AN112" s="2"/>
      <c r="AW112" s="35"/>
      <c r="AX112" s="35"/>
    </row>
    <row r="113" spans="29:50" ht="12.75">
      <c r="AC113" s="11"/>
      <c r="AD113" s="35"/>
      <c r="AE113" s="35"/>
      <c r="AF113" s="35"/>
      <c r="AG113" s="35"/>
      <c r="AH113" s="35"/>
      <c r="AI113" s="35"/>
      <c r="AJ113" s="35"/>
      <c r="AK113" s="41"/>
      <c r="AL113" s="2"/>
      <c r="AM113" s="2"/>
      <c r="AN113" s="2"/>
      <c r="AW113" s="35"/>
      <c r="AX113" s="35"/>
    </row>
    <row r="114" spans="29:50" ht="12.75">
      <c r="AC114" s="35"/>
      <c r="AD114" s="35"/>
      <c r="AE114" s="35"/>
      <c r="AF114" s="35"/>
      <c r="AG114" s="35"/>
      <c r="AH114" s="35"/>
      <c r="AI114" s="35"/>
      <c r="AJ114" s="35"/>
      <c r="AK114" s="35"/>
      <c r="AL114" s="2"/>
      <c r="AM114" s="2"/>
      <c r="AN114" s="2"/>
      <c r="AW114" s="36"/>
      <c r="AX114" s="36"/>
    </row>
    <row r="115" spans="29:50" ht="12.75">
      <c r="AC115" s="36"/>
      <c r="AD115" s="36"/>
      <c r="AE115" s="36"/>
      <c r="AF115" s="36"/>
      <c r="AG115" s="36"/>
      <c r="AH115" s="36"/>
      <c r="AI115" s="36"/>
      <c r="AJ115" s="36"/>
      <c r="AK115" s="36"/>
      <c r="AL115" s="2"/>
      <c r="AM115" s="2"/>
      <c r="AN115" s="2"/>
      <c r="AW115" s="36"/>
      <c r="AX115" s="36"/>
    </row>
    <row r="116" spans="29:50" ht="12.75">
      <c r="AC116" s="36"/>
      <c r="AD116" s="36"/>
      <c r="AE116" s="36"/>
      <c r="AF116" s="36"/>
      <c r="AG116" s="36"/>
      <c r="AH116" s="36"/>
      <c r="AI116" s="36"/>
      <c r="AJ116" s="36"/>
      <c r="AK116" s="36"/>
      <c r="AL116" s="2"/>
      <c r="AM116" s="2"/>
      <c r="AN116" s="2"/>
      <c r="AW116" s="2"/>
      <c r="AX116" s="2"/>
    </row>
    <row r="117" spans="29:50" ht="12.75">
      <c r="AC117" s="2"/>
      <c r="AD117" s="2"/>
      <c r="AE117" s="2"/>
      <c r="AF117" s="2"/>
      <c r="AG117" s="2"/>
      <c r="AH117" s="2"/>
      <c r="AI117" s="2"/>
      <c r="AJ117" s="2"/>
      <c r="AK117" s="2"/>
      <c r="AL117" s="2"/>
      <c r="AM117" s="2"/>
      <c r="AN117" s="2"/>
      <c r="AW117" s="2"/>
      <c r="AX117" s="2"/>
    </row>
    <row r="118" spans="29:50" ht="12.75">
      <c r="AC118" s="2"/>
      <c r="AD118" s="2"/>
      <c r="AE118" s="2"/>
      <c r="AF118" s="2"/>
      <c r="AG118" s="2"/>
      <c r="AH118" s="2"/>
      <c r="AI118" s="2"/>
      <c r="AJ118" s="2"/>
      <c r="AK118" s="2"/>
      <c r="AL118" s="2"/>
      <c r="AM118" s="2"/>
      <c r="AN118" s="2"/>
      <c r="AW118" s="2"/>
      <c r="AX118" s="2"/>
    </row>
    <row r="119" spans="29:50" ht="12.75">
      <c r="AC119" s="2"/>
      <c r="AD119" s="2"/>
      <c r="AE119" s="2"/>
      <c r="AF119" s="2"/>
      <c r="AG119" s="2"/>
      <c r="AH119" s="2"/>
      <c r="AI119" s="2"/>
      <c r="AJ119" s="2"/>
      <c r="AK119" s="2"/>
      <c r="AL119" s="2"/>
      <c r="AM119" s="2"/>
      <c r="AN119" s="2"/>
      <c r="AW119" s="2"/>
      <c r="AX119" s="2"/>
    </row>
    <row r="120" spans="29:50" ht="12.75">
      <c r="AC120" s="2"/>
      <c r="AD120" s="2"/>
      <c r="AE120" s="2"/>
      <c r="AF120" s="2"/>
      <c r="AG120" s="2"/>
      <c r="AH120" s="2"/>
      <c r="AI120" s="2"/>
      <c r="AJ120" s="2"/>
      <c r="AK120" s="2"/>
      <c r="AL120" s="2"/>
      <c r="AM120" s="2"/>
      <c r="AN120" s="2"/>
      <c r="AW120" s="2"/>
      <c r="AX120" s="2"/>
    </row>
    <row r="121" spans="29:40" ht="12.75">
      <c r="AC121" s="2"/>
      <c r="AD121" s="2"/>
      <c r="AE121" s="2"/>
      <c r="AF121" s="2"/>
      <c r="AG121" s="2"/>
      <c r="AH121" s="2"/>
      <c r="AI121" s="2"/>
      <c r="AJ121" s="2"/>
      <c r="AK121" s="2"/>
      <c r="AL121" s="2"/>
      <c r="AM121" s="2"/>
      <c r="AN121" s="2"/>
    </row>
  </sheetData>
  <sheetProtection/>
  <mergeCells count="6">
    <mergeCell ref="AO10:AP10"/>
    <mergeCell ref="AO70:AP70"/>
    <mergeCell ref="C9:D9"/>
    <mergeCell ref="C10:D10"/>
    <mergeCell ref="C69:D69"/>
    <mergeCell ref="C70:D70"/>
  </mergeCells>
  <conditionalFormatting sqref="A91 A83 A78 A67:A68">
    <cfRule type="cellIs" priority="1" dxfId="0" operator="equal" stopIfTrue="1">
      <formula>0</formula>
    </cfRule>
  </conditionalFormatting>
  <printOptions horizontalCentered="1"/>
  <pageMargins left="0.3" right="0.3" top="0.4" bottom="0.53" header="0" footer="0.3"/>
  <pageSetup fitToHeight="1" fitToWidth="1" horizontalDpi="600" verticalDpi="600" orientation="landscape" scale="48" r:id="rId2"/>
  <headerFooter alignWithMargins="0">
    <oddFooter>&amp;CPage 1</oddFooter>
  </headerFooter>
  <colBreaks count="1" manualBreakCount="1">
    <brk id="53"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I99"/>
  <sheetViews>
    <sheetView workbookViewId="0" topLeftCell="A1">
      <selection activeCell="A1" sqref="A1"/>
    </sheetView>
  </sheetViews>
  <sheetFormatPr defaultColWidth="9.140625" defaultRowHeight="12.75"/>
  <cols>
    <col min="1" max="1" width="2.7109375" style="0" customWidth="1"/>
    <col min="2" max="2" width="45.7109375" style="0" customWidth="1"/>
    <col min="3" max="3" width="9.57421875" style="0" customWidth="1"/>
    <col min="4" max="4" width="9.7109375" style="0" customWidth="1"/>
    <col min="5" max="5" width="1.57421875" style="3" customWidth="1"/>
    <col min="6" max="6" width="9.8515625" style="3" hidden="1" customWidth="1"/>
    <col min="7" max="15" width="9.8515625" style="3" customWidth="1"/>
    <col min="16" max="25" width="9.8515625" style="3" hidden="1" customWidth="1"/>
    <col min="26" max="26" width="9.7109375" style="3" hidden="1" customWidth="1"/>
    <col min="27" max="28" width="8.00390625" style="3" hidden="1" customWidth="1"/>
    <col min="29" max="29" width="8.00390625" style="0" hidden="1" customWidth="1"/>
    <col min="30" max="37" width="7.8515625" style="0" hidden="1" customWidth="1"/>
    <col min="38" max="38" width="1.7109375" style="0" customWidth="1"/>
    <col min="39" max="39" width="10.28125" style="0" customWidth="1"/>
    <col min="40" max="40" width="10.00390625" style="0" customWidth="1"/>
    <col min="41" max="42" width="9.140625" style="0" customWidth="1"/>
    <col min="43" max="43" width="2.28125" style="0" customWidth="1"/>
    <col min="44" max="48" width="9.7109375" style="0" customWidth="1"/>
    <col min="49" max="53" width="9.7109375" style="0" hidden="1" customWidth="1"/>
    <col min="54" max="54" width="1.57421875" style="0" customWidth="1"/>
    <col min="56" max="56" width="17.28125" style="0" bestFit="1" customWidth="1"/>
    <col min="57" max="57" width="12.140625" style="0" bestFit="1" customWidth="1"/>
  </cols>
  <sheetData>
    <row r="1" spans="6:53" ht="5.25" customHeight="1">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t="e">
        <v>#REF!</v>
      </c>
      <c r="BA1" s="457" t="e">
        <v>#REF!</v>
      </c>
    </row>
    <row r="2" spans="6:53" ht="12.75">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7" t="e">
        <v>#REF!</v>
      </c>
      <c r="BA2" s="457" t="e">
        <v>#REF!</v>
      </c>
    </row>
    <row r="3" spans="6:53" ht="12.75">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t="e">
        <v>#REF!</v>
      </c>
      <c r="BA3" s="457" t="e">
        <v>#REF!</v>
      </c>
    </row>
    <row r="4" spans="6:53" ht="12.75">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t="e">
        <v>#REF!</v>
      </c>
      <c r="BA4" s="457" t="e">
        <v>#REF!</v>
      </c>
    </row>
    <row r="5" spans="1:53" ht="5.25" customHeight="1">
      <c r="A5" s="3"/>
      <c r="B5" s="3"/>
      <c r="C5" s="3"/>
      <c r="D5" s="3"/>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457"/>
      <c r="AP5" s="457"/>
      <c r="AQ5" s="457"/>
      <c r="AR5" s="457"/>
      <c r="AS5" s="457"/>
      <c r="AT5" s="457"/>
      <c r="AU5" s="457"/>
      <c r="AV5" s="457"/>
      <c r="AW5" s="457"/>
      <c r="AX5" s="457"/>
      <c r="AY5" s="457"/>
      <c r="AZ5" s="457" t="e">
        <v>#REF!</v>
      </c>
      <c r="BA5" s="457" t="e">
        <v>#REF!</v>
      </c>
    </row>
    <row r="6" spans="1:53" ht="18" customHeight="1">
      <c r="A6" s="134" t="s">
        <v>61</v>
      </c>
      <c r="B6" s="3"/>
      <c r="C6" s="31"/>
      <c r="D6" s="41"/>
      <c r="F6" s="555"/>
      <c r="G6" s="555"/>
      <c r="H6" s="555"/>
      <c r="I6" s="729"/>
      <c r="J6" s="729"/>
      <c r="K6" s="729"/>
      <c r="L6" s="729"/>
      <c r="M6" s="729"/>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457"/>
      <c r="AP6" s="457"/>
      <c r="AQ6" s="457"/>
      <c r="AR6" s="595"/>
      <c r="AS6" s="595"/>
      <c r="AT6" s="457"/>
      <c r="AU6" s="457"/>
      <c r="AV6" s="457"/>
      <c r="AW6" s="457"/>
      <c r="AX6" s="457"/>
      <c r="AY6" s="457"/>
      <c r="AZ6" s="457" t="e">
        <v>#REF!</v>
      </c>
      <c r="BA6" s="457" t="e">
        <v>#REF!</v>
      </c>
    </row>
    <row r="7" spans="1:53" ht="18" customHeight="1">
      <c r="A7" s="166" t="s">
        <v>472</v>
      </c>
      <c r="B7" s="5"/>
      <c r="C7" s="5"/>
      <c r="D7" s="5"/>
      <c r="E7" s="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457"/>
      <c r="AP7" s="457"/>
      <c r="AQ7" s="457"/>
      <c r="AR7" s="595"/>
      <c r="AS7" s="595"/>
      <c r="AT7" s="457"/>
      <c r="AU7" s="457"/>
      <c r="AV7" s="457"/>
      <c r="AW7" s="457"/>
      <c r="AX7" s="457"/>
      <c r="AY7" s="457"/>
      <c r="AZ7" s="457" t="e">
        <v>#REF!</v>
      </c>
      <c r="BA7" s="457" t="e">
        <v>#REF!</v>
      </c>
    </row>
    <row r="8" spans="1:53" ht="15" customHeight="1">
      <c r="A8" s="788" t="s">
        <v>339</v>
      </c>
      <c r="B8" s="5"/>
      <c r="C8" s="5"/>
      <c r="D8" s="5"/>
      <c r="E8" s="5"/>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7"/>
      <c r="AY8" s="457"/>
      <c r="AZ8" s="457"/>
      <c r="BA8" s="457"/>
    </row>
    <row r="9" spans="3:42" ht="9.75" customHeight="1">
      <c r="C9" s="2"/>
      <c r="D9" s="2"/>
      <c r="E9" s="2"/>
      <c r="F9" s="2"/>
      <c r="G9" s="2"/>
      <c r="H9" s="2"/>
      <c r="I9" s="2"/>
      <c r="J9" s="2"/>
      <c r="K9" s="2"/>
      <c r="L9" s="2"/>
      <c r="M9" s="2"/>
      <c r="N9" s="491"/>
      <c r="O9" s="2"/>
      <c r="P9" s="2"/>
      <c r="Q9" s="2"/>
      <c r="R9" s="491"/>
      <c r="S9" s="2"/>
      <c r="T9" s="2"/>
      <c r="U9" s="2"/>
      <c r="V9" s="491"/>
      <c r="W9" s="2"/>
      <c r="X9" s="491"/>
      <c r="Y9" s="2"/>
      <c r="Z9" s="491"/>
      <c r="AA9" s="2"/>
      <c r="AB9" s="2"/>
      <c r="AC9" s="3"/>
      <c r="AD9" s="3"/>
      <c r="AE9" s="3"/>
      <c r="AO9" s="626"/>
      <c r="AP9" s="626"/>
    </row>
    <row r="10" spans="1:54" ht="12.75">
      <c r="A10" s="6" t="s">
        <v>1</v>
      </c>
      <c r="B10" s="7"/>
      <c r="C10" s="1437" t="s">
        <v>497</v>
      </c>
      <c r="D10" s="1438"/>
      <c r="E10" s="259"/>
      <c r="F10" s="477"/>
      <c r="G10" s="477"/>
      <c r="H10" s="477"/>
      <c r="I10" s="19"/>
      <c r="J10" s="477"/>
      <c r="K10" s="477"/>
      <c r="L10" s="477"/>
      <c r="M10" s="19"/>
      <c r="N10" s="17"/>
      <c r="O10" s="18"/>
      <c r="P10" s="477"/>
      <c r="Q10" s="19"/>
      <c r="R10" s="17"/>
      <c r="S10" s="18"/>
      <c r="T10" s="477"/>
      <c r="U10" s="19"/>
      <c r="W10" s="18"/>
      <c r="X10" s="2"/>
      <c r="Y10" s="19"/>
      <c r="Z10" s="18"/>
      <c r="AB10" s="477"/>
      <c r="AC10" s="19"/>
      <c r="AD10" s="18"/>
      <c r="AE10" s="18"/>
      <c r="AF10" s="18"/>
      <c r="AG10" s="18"/>
      <c r="AH10" s="22"/>
      <c r="AI10" s="19"/>
      <c r="AJ10" s="19"/>
      <c r="AK10" s="19"/>
      <c r="AL10" s="24"/>
      <c r="AM10" s="725" t="s">
        <v>406</v>
      </c>
      <c r="AN10" s="711"/>
      <c r="AO10" s="711" t="s">
        <v>480</v>
      </c>
      <c r="AP10" s="712"/>
      <c r="AQ10" s="15"/>
      <c r="AR10" s="88"/>
      <c r="AS10" s="88"/>
      <c r="AT10" s="88"/>
      <c r="AU10" s="88"/>
      <c r="AV10" s="88"/>
      <c r="AW10" s="17"/>
      <c r="AX10" s="22"/>
      <c r="AY10" s="88"/>
      <c r="AZ10" s="350"/>
      <c r="BA10" s="22"/>
      <c r="BB10" s="25"/>
    </row>
    <row r="11" spans="1:61" ht="13.5">
      <c r="A11" s="6" t="s">
        <v>2</v>
      </c>
      <c r="B11" s="7"/>
      <c r="C11" s="1439" t="s">
        <v>41</v>
      </c>
      <c r="D11" s="1440"/>
      <c r="E11" s="603"/>
      <c r="F11" s="21" t="s">
        <v>431</v>
      </c>
      <c r="G11" s="21" t="s">
        <v>430</v>
      </c>
      <c r="H11" s="21" t="s">
        <v>429</v>
      </c>
      <c r="I11" s="14" t="s">
        <v>427</v>
      </c>
      <c r="J11" s="21" t="s">
        <v>362</v>
      </c>
      <c r="K11" s="21" t="s">
        <v>363</v>
      </c>
      <c r="L11" s="21" t="s">
        <v>364</v>
      </c>
      <c r="M11" s="14" t="s">
        <v>365</v>
      </c>
      <c r="N11" s="20" t="s">
        <v>277</v>
      </c>
      <c r="O11" s="21" t="s">
        <v>278</v>
      </c>
      <c r="P11" s="21" t="s">
        <v>279</v>
      </c>
      <c r="Q11" s="14" t="s">
        <v>276</v>
      </c>
      <c r="R11" s="20" t="s">
        <v>222</v>
      </c>
      <c r="S11" s="21" t="s">
        <v>223</v>
      </c>
      <c r="T11" s="21" t="s">
        <v>224</v>
      </c>
      <c r="U11" s="14" t="s">
        <v>225</v>
      </c>
      <c r="V11" s="21" t="s">
        <v>141</v>
      </c>
      <c r="W11" s="21" t="s">
        <v>140</v>
      </c>
      <c r="X11" s="21" t="s">
        <v>139</v>
      </c>
      <c r="Y11" s="14" t="s">
        <v>138</v>
      </c>
      <c r="Z11" s="21" t="s">
        <v>91</v>
      </c>
      <c r="AA11" s="21" t="s">
        <v>92</v>
      </c>
      <c r="AB11" s="21" t="s">
        <v>93</v>
      </c>
      <c r="AC11" s="14" t="s">
        <v>32</v>
      </c>
      <c r="AD11" s="21" t="s">
        <v>33</v>
      </c>
      <c r="AE11" s="21" t="s">
        <v>34</v>
      </c>
      <c r="AF11" s="21" t="s">
        <v>35</v>
      </c>
      <c r="AG11" s="21" t="s">
        <v>36</v>
      </c>
      <c r="AH11" s="23" t="s">
        <v>37</v>
      </c>
      <c r="AI11" s="14" t="s">
        <v>38</v>
      </c>
      <c r="AJ11" s="14" t="s">
        <v>39</v>
      </c>
      <c r="AK11" s="14" t="s">
        <v>40</v>
      </c>
      <c r="AL11" s="259"/>
      <c r="AM11" s="21" t="s">
        <v>430</v>
      </c>
      <c r="AN11" s="21" t="s">
        <v>363</v>
      </c>
      <c r="AO11" s="1435" t="s">
        <v>41</v>
      </c>
      <c r="AP11" s="1436"/>
      <c r="AQ11" s="16"/>
      <c r="AR11" s="20" t="s">
        <v>367</v>
      </c>
      <c r="AS11" s="20" t="s">
        <v>285</v>
      </c>
      <c r="AT11" s="20" t="s">
        <v>143</v>
      </c>
      <c r="AU11" s="20" t="s">
        <v>142</v>
      </c>
      <c r="AV11" s="20" t="s">
        <v>45</v>
      </c>
      <c r="AW11" s="20" t="s">
        <v>42</v>
      </c>
      <c r="AX11" s="23" t="s">
        <v>43</v>
      </c>
      <c r="AY11" s="23" t="s">
        <v>165</v>
      </c>
      <c r="AZ11" s="23" t="s">
        <v>166</v>
      </c>
      <c r="BA11" s="372" t="s">
        <v>167</v>
      </c>
      <c r="BB11" s="25"/>
      <c r="BC11" s="3"/>
      <c r="BD11" s="3"/>
      <c r="BE11" s="3"/>
      <c r="BF11" s="3"/>
      <c r="BG11" s="3"/>
      <c r="BH11" s="3"/>
      <c r="BI11" s="3"/>
    </row>
    <row r="12" spans="1:61" ht="12.75">
      <c r="A12" s="6"/>
      <c r="B12" s="7"/>
      <c r="C12" s="693"/>
      <c r="D12" s="695"/>
      <c r="E12" s="603"/>
      <c r="F12" s="697" t="s">
        <v>307</v>
      </c>
      <c r="G12" s="697" t="s">
        <v>307</v>
      </c>
      <c r="H12" s="697" t="s">
        <v>307</v>
      </c>
      <c r="I12" s="698" t="s">
        <v>307</v>
      </c>
      <c r="J12" s="697" t="s">
        <v>307</v>
      </c>
      <c r="K12" s="697" t="s">
        <v>307</v>
      </c>
      <c r="L12" s="697" t="s">
        <v>307</v>
      </c>
      <c r="M12" s="698" t="s">
        <v>307</v>
      </c>
      <c r="N12" s="696" t="s">
        <v>307</v>
      </c>
      <c r="O12" s="697" t="s">
        <v>307</v>
      </c>
      <c r="P12" s="697" t="s">
        <v>307</v>
      </c>
      <c r="Q12" s="698" t="s">
        <v>307</v>
      </c>
      <c r="R12" s="696" t="s">
        <v>307</v>
      </c>
      <c r="S12" s="697" t="s">
        <v>307</v>
      </c>
      <c r="T12" s="697" t="s">
        <v>307</v>
      </c>
      <c r="U12" s="698" t="s">
        <v>307</v>
      </c>
      <c r="V12" s="696" t="s">
        <v>308</v>
      </c>
      <c r="W12" s="697" t="s">
        <v>308</v>
      </c>
      <c r="X12" s="697" t="s">
        <v>308</v>
      </c>
      <c r="Y12" s="698" t="s">
        <v>308</v>
      </c>
      <c r="Z12" s="15"/>
      <c r="AA12" s="15"/>
      <c r="AB12" s="15"/>
      <c r="AC12" s="233"/>
      <c r="AD12" s="15"/>
      <c r="AE12" s="15"/>
      <c r="AF12" s="15"/>
      <c r="AG12" s="15"/>
      <c r="AH12" s="259"/>
      <c r="AI12" s="233"/>
      <c r="AJ12" s="233"/>
      <c r="AK12" s="233"/>
      <c r="AL12" s="259"/>
      <c r="AM12" s="696" t="s">
        <v>307</v>
      </c>
      <c r="AN12" s="697" t="s">
        <v>307</v>
      </c>
      <c r="AO12" s="713"/>
      <c r="AP12" s="714"/>
      <c r="AQ12" s="16"/>
      <c r="AR12" s="696" t="s">
        <v>307</v>
      </c>
      <c r="AS12" s="696" t="s">
        <v>307</v>
      </c>
      <c r="AT12" s="696" t="s">
        <v>307</v>
      </c>
      <c r="AU12" s="696" t="s">
        <v>308</v>
      </c>
      <c r="AV12" s="696" t="s">
        <v>308</v>
      </c>
      <c r="AW12" s="696" t="s">
        <v>308</v>
      </c>
      <c r="AX12" s="699" t="s">
        <v>308</v>
      </c>
      <c r="AY12" s="259"/>
      <c r="AZ12" s="259"/>
      <c r="BA12" s="700"/>
      <c r="BB12" s="25"/>
      <c r="BC12" s="3"/>
      <c r="BD12" s="3"/>
      <c r="BE12" s="3"/>
      <c r="BF12" s="3"/>
      <c r="BG12" s="3"/>
      <c r="BH12" s="3"/>
      <c r="BI12" s="3"/>
    </row>
    <row r="13" spans="1:54" ht="12.75" customHeight="1">
      <c r="A13" s="142" t="s">
        <v>68</v>
      </c>
      <c r="B13" s="8"/>
      <c r="C13" s="164"/>
      <c r="D13" s="166"/>
      <c r="E13" s="89"/>
      <c r="F13" s="148"/>
      <c r="G13" s="148"/>
      <c r="H13" s="148"/>
      <c r="I13" s="166"/>
      <c r="J13" s="148"/>
      <c r="K13" s="148"/>
      <c r="L13" s="148"/>
      <c r="M13" s="166"/>
      <c r="N13" s="148"/>
      <c r="O13" s="148"/>
      <c r="P13" s="148"/>
      <c r="Q13" s="166"/>
      <c r="R13" s="148"/>
      <c r="S13" s="148"/>
      <c r="T13" s="148"/>
      <c r="U13" s="166"/>
      <c r="V13" s="148"/>
      <c r="W13" s="148"/>
      <c r="X13" s="148"/>
      <c r="Y13" s="166"/>
      <c r="Z13" s="148"/>
      <c r="AA13" s="148"/>
      <c r="AB13" s="148"/>
      <c r="AC13" s="166"/>
      <c r="AD13" s="148"/>
      <c r="AE13" s="148"/>
      <c r="AF13" s="148"/>
      <c r="AG13" s="166"/>
      <c r="AH13" s="89"/>
      <c r="AI13" s="166"/>
      <c r="AJ13" s="166"/>
      <c r="AK13" s="166"/>
      <c r="AL13" s="89"/>
      <c r="AM13" s="148"/>
      <c r="AN13" s="148"/>
      <c r="AO13" s="195"/>
      <c r="AP13" s="165"/>
      <c r="AQ13" s="83"/>
      <c r="AR13" s="89"/>
      <c r="AS13" s="89"/>
      <c r="AT13" s="89"/>
      <c r="AU13" s="89"/>
      <c r="AV13" s="89"/>
      <c r="AW13" s="164"/>
      <c r="AX13" s="89"/>
      <c r="AY13" s="86"/>
      <c r="AZ13" s="86"/>
      <c r="BA13" s="86"/>
      <c r="BB13" s="25"/>
    </row>
    <row r="14" spans="1:54" ht="12.75" customHeight="1">
      <c r="A14" s="7"/>
      <c r="B14" s="7" t="s">
        <v>407</v>
      </c>
      <c r="C14" s="38">
        <v>-1834</v>
      </c>
      <c r="D14" s="30">
        <v>-0.020511099927305262</v>
      </c>
      <c r="E14" s="592"/>
      <c r="F14" s="465"/>
      <c r="G14" s="465">
        <v>87581</v>
      </c>
      <c r="H14" s="465">
        <v>81832</v>
      </c>
      <c r="I14" s="216">
        <v>90035</v>
      </c>
      <c r="J14" s="465">
        <v>87438</v>
      </c>
      <c r="K14" s="465">
        <v>89415</v>
      </c>
      <c r="L14" s="465">
        <v>87525</v>
      </c>
      <c r="M14" s="216">
        <v>88747</v>
      </c>
      <c r="N14" s="465">
        <v>74170</v>
      </c>
      <c r="O14" s="465">
        <v>57380</v>
      </c>
      <c r="P14" s="465">
        <v>60299</v>
      </c>
      <c r="Q14" s="216">
        <v>61028</v>
      </c>
      <c r="R14" s="465">
        <v>81959</v>
      </c>
      <c r="S14" s="465">
        <v>87433</v>
      </c>
      <c r="T14" s="465">
        <v>63002</v>
      </c>
      <c r="U14" s="216">
        <v>62256</v>
      </c>
      <c r="V14" s="465">
        <v>62826</v>
      </c>
      <c r="W14" s="465">
        <v>60696</v>
      </c>
      <c r="X14" s="465">
        <v>56628</v>
      </c>
      <c r="Y14" s="216">
        <v>55456</v>
      </c>
      <c r="Z14" s="465">
        <v>49005</v>
      </c>
      <c r="AA14" s="465">
        <v>51473</v>
      </c>
      <c r="AB14" s="465">
        <v>60630</v>
      </c>
      <c r="AC14" s="216">
        <v>71996</v>
      </c>
      <c r="AD14" s="167">
        <v>69585</v>
      </c>
      <c r="AE14" s="167">
        <v>74959</v>
      </c>
      <c r="AF14" s="167">
        <v>65728</v>
      </c>
      <c r="AG14" s="168">
        <v>85775</v>
      </c>
      <c r="AH14" s="177">
        <v>87682</v>
      </c>
      <c r="AI14" s="168">
        <v>74380</v>
      </c>
      <c r="AJ14" s="168">
        <v>63556</v>
      </c>
      <c r="AK14" s="168">
        <v>78054</v>
      </c>
      <c r="AL14" s="89"/>
      <c r="AM14" s="380">
        <v>259448</v>
      </c>
      <c r="AN14" s="380">
        <v>265687</v>
      </c>
      <c r="AO14" s="213">
        <v>-6239</v>
      </c>
      <c r="AP14" s="30">
        <v>-0.02348251890382292</v>
      </c>
      <c r="AQ14" s="83"/>
      <c r="AR14" s="161">
        <v>353125</v>
      </c>
      <c r="AS14" s="161">
        <v>252877</v>
      </c>
      <c r="AT14" s="161">
        <v>294650</v>
      </c>
      <c r="AU14" s="161">
        <v>235606</v>
      </c>
      <c r="AV14" s="161">
        <v>233104</v>
      </c>
      <c r="AW14" s="161">
        <v>296047</v>
      </c>
      <c r="AX14" s="161">
        <v>303672</v>
      </c>
      <c r="AY14" s="43">
        <v>239460</v>
      </c>
      <c r="AZ14" s="43">
        <v>168978</v>
      </c>
      <c r="BA14" s="43">
        <v>162242</v>
      </c>
      <c r="BB14" s="25"/>
    </row>
    <row r="15" spans="1:54" ht="12.75" customHeight="1">
      <c r="A15" s="7"/>
      <c r="B15" s="7" t="s">
        <v>70</v>
      </c>
      <c r="C15" s="38">
        <v>30232</v>
      </c>
      <c r="D15" s="30">
        <v>0.7444655125711049</v>
      </c>
      <c r="E15" s="592"/>
      <c r="F15" s="465"/>
      <c r="G15" s="465">
        <v>70841</v>
      </c>
      <c r="H15" s="465">
        <v>40283</v>
      </c>
      <c r="I15" s="216">
        <v>31833</v>
      </c>
      <c r="J15" s="465">
        <v>38541</v>
      </c>
      <c r="K15" s="465">
        <v>40609</v>
      </c>
      <c r="L15" s="465">
        <v>37961</v>
      </c>
      <c r="M15" s="216">
        <v>28661</v>
      </c>
      <c r="N15" s="465">
        <v>53553</v>
      </c>
      <c r="O15" s="465">
        <v>32015</v>
      </c>
      <c r="P15" s="465">
        <v>29799</v>
      </c>
      <c r="Q15" s="216">
        <v>59858</v>
      </c>
      <c r="R15" s="465">
        <v>103646</v>
      </c>
      <c r="S15" s="465">
        <v>116716</v>
      </c>
      <c r="T15" s="465">
        <v>51236</v>
      </c>
      <c r="U15" s="216">
        <v>55901</v>
      </c>
      <c r="V15" s="465">
        <v>54191</v>
      </c>
      <c r="W15" s="465">
        <v>82089</v>
      </c>
      <c r="X15" s="465">
        <v>32366</v>
      </c>
      <c r="Y15" s="216">
        <v>46590</v>
      </c>
      <c r="Z15" s="465">
        <v>30146</v>
      </c>
      <c r="AA15" s="465">
        <v>8887</v>
      </c>
      <c r="AB15" s="465">
        <v>27894</v>
      </c>
      <c r="AC15" s="216">
        <v>50989</v>
      </c>
      <c r="AD15" s="167">
        <v>49608</v>
      </c>
      <c r="AE15" s="167">
        <v>84910</v>
      </c>
      <c r="AF15" s="167">
        <v>73731</v>
      </c>
      <c r="AG15" s="168">
        <v>128625</v>
      </c>
      <c r="AH15" s="177">
        <v>99138</v>
      </c>
      <c r="AI15" s="168">
        <v>78177</v>
      </c>
      <c r="AJ15" s="168">
        <v>70118</v>
      </c>
      <c r="AK15" s="168">
        <v>102840</v>
      </c>
      <c r="AL15" s="89"/>
      <c r="AM15" s="380">
        <v>142957</v>
      </c>
      <c r="AN15" s="380">
        <v>107231</v>
      </c>
      <c r="AO15" s="213">
        <v>35726</v>
      </c>
      <c r="AP15" s="30">
        <v>0.3331685799815352</v>
      </c>
      <c r="AQ15" s="83"/>
      <c r="AR15" s="161">
        <v>145772</v>
      </c>
      <c r="AS15" s="161">
        <v>175225</v>
      </c>
      <c r="AT15" s="161">
        <v>327499</v>
      </c>
      <c r="AU15" s="161">
        <v>215237</v>
      </c>
      <c r="AV15" s="161">
        <v>117916</v>
      </c>
      <c r="AW15" s="161">
        <v>295787</v>
      </c>
      <c r="AX15" s="161">
        <v>319240</v>
      </c>
      <c r="AY15" s="43">
        <v>253124</v>
      </c>
      <c r="AZ15" s="43">
        <v>214450</v>
      </c>
      <c r="BA15" s="43">
        <v>188001</v>
      </c>
      <c r="BB15" s="25"/>
    </row>
    <row r="16" spans="1:54" ht="12.75" customHeight="1">
      <c r="A16" s="7"/>
      <c r="B16" s="7" t="s">
        <v>255</v>
      </c>
      <c r="C16" s="38">
        <v>-29590</v>
      </c>
      <c r="D16" s="30">
        <v>-0.4266885851069966</v>
      </c>
      <c r="E16" s="592"/>
      <c r="F16" s="465"/>
      <c r="G16" s="465">
        <v>39758</v>
      </c>
      <c r="H16" s="465">
        <v>29894</v>
      </c>
      <c r="I16" s="216">
        <v>35905</v>
      </c>
      <c r="J16" s="465">
        <v>56145</v>
      </c>
      <c r="K16" s="465">
        <v>69348</v>
      </c>
      <c r="L16" s="465">
        <v>28571</v>
      </c>
      <c r="M16" s="216">
        <v>25626</v>
      </c>
      <c r="N16" s="465">
        <v>24634</v>
      </c>
      <c r="O16" s="465">
        <v>38541</v>
      </c>
      <c r="P16" s="465">
        <v>21664</v>
      </c>
      <c r="Q16" s="216">
        <v>22531</v>
      </c>
      <c r="R16" s="465">
        <v>25702</v>
      </c>
      <c r="S16" s="465">
        <v>25276</v>
      </c>
      <c r="T16" s="465">
        <v>13215</v>
      </c>
      <c r="U16" s="216">
        <v>20721</v>
      </c>
      <c r="V16" s="465">
        <v>8323</v>
      </c>
      <c r="W16" s="465">
        <v>6328</v>
      </c>
      <c r="X16" s="465">
        <v>15254</v>
      </c>
      <c r="Y16" s="216">
        <v>9296</v>
      </c>
      <c r="Z16" s="465">
        <v>8854</v>
      </c>
      <c r="AA16" s="465">
        <v>11311</v>
      </c>
      <c r="AB16" s="465">
        <v>6130</v>
      </c>
      <c r="AC16" s="216">
        <v>25158</v>
      </c>
      <c r="AD16" s="167"/>
      <c r="AE16" s="167"/>
      <c r="AF16" s="167"/>
      <c r="AG16" s="168"/>
      <c r="AH16" s="177"/>
      <c r="AI16" s="168"/>
      <c r="AJ16" s="168"/>
      <c r="AK16" s="168"/>
      <c r="AL16" s="89"/>
      <c r="AM16" s="380">
        <v>105557</v>
      </c>
      <c r="AN16" s="380">
        <v>123545</v>
      </c>
      <c r="AO16" s="213">
        <v>-17988</v>
      </c>
      <c r="AP16" s="30">
        <v>-0.14559876967906432</v>
      </c>
      <c r="AQ16" s="83"/>
      <c r="AR16" s="161">
        <v>179690</v>
      </c>
      <c r="AS16" s="161">
        <v>107370</v>
      </c>
      <c r="AT16" s="161">
        <v>84914</v>
      </c>
      <c r="AU16" s="161">
        <v>39200</v>
      </c>
      <c r="AV16" s="161">
        <v>51453</v>
      </c>
      <c r="AW16" s="161">
        <v>41087</v>
      </c>
      <c r="AX16" s="161">
        <v>31033</v>
      </c>
      <c r="AY16" s="43">
        <v>13082</v>
      </c>
      <c r="AZ16" s="43"/>
      <c r="BA16" s="43"/>
      <c r="BB16" s="25"/>
    </row>
    <row r="17" spans="1:53" ht="12.75" customHeight="1">
      <c r="A17" s="7"/>
      <c r="B17" s="7" t="s">
        <v>71</v>
      </c>
      <c r="C17" s="38">
        <v>3193</v>
      </c>
      <c r="D17" s="30">
        <v>0.17102303160149973</v>
      </c>
      <c r="E17" s="592"/>
      <c r="F17" s="465"/>
      <c r="G17" s="465">
        <v>21863</v>
      </c>
      <c r="H17" s="465">
        <v>18883</v>
      </c>
      <c r="I17" s="216">
        <v>19540</v>
      </c>
      <c r="J17" s="465">
        <v>22780</v>
      </c>
      <c r="K17" s="465">
        <v>18670</v>
      </c>
      <c r="L17" s="465">
        <v>17109</v>
      </c>
      <c r="M17" s="216">
        <v>7847</v>
      </c>
      <c r="N17" s="465">
        <v>6769</v>
      </c>
      <c r="O17" s="465">
        <v>3304</v>
      </c>
      <c r="P17" s="465">
        <v>-1379</v>
      </c>
      <c r="Q17" s="216">
        <v>1953</v>
      </c>
      <c r="R17" s="465">
        <v>17431</v>
      </c>
      <c r="S17" s="465">
        <v>10658</v>
      </c>
      <c r="T17" s="465">
        <v>9597</v>
      </c>
      <c r="U17" s="216">
        <v>5958</v>
      </c>
      <c r="V17" s="465">
        <v>7278</v>
      </c>
      <c r="W17" s="465">
        <v>15645</v>
      </c>
      <c r="X17" s="465">
        <v>11589</v>
      </c>
      <c r="Y17" s="216">
        <v>11470</v>
      </c>
      <c r="Z17" s="465">
        <v>8540</v>
      </c>
      <c r="AA17" s="465">
        <v>3781</v>
      </c>
      <c r="AB17" s="465">
        <v>87</v>
      </c>
      <c r="AC17" s="216">
        <v>5911</v>
      </c>
      <c r="AD17" s="167">
        <v>4168</v>
      </c>
      <c r="AE17" s="167">
        <v>387</v>
      </c>
      <c r="AF17" s="167">
        <v>-3925</v>
      </c>
      <c r="AG17" s="168">
        <v>6813</v>
      </c>
      <c r="AH17" s="177">
        <v>9429</v>
      </c>
      <c r="AI17" s="168">
        <v>9035</v>
      </c>
      <c r="AJ17" s="168">
        <v>5390</v>
      </c>
      <c r="AK17" s="168">
        <v>7784</v>
      </c>
      <c r="AL17" s="89"/>
      <c r="AM17" s="380">
        <v>60286</v>
      </c>
      <c r="AN17" s="380">
        <v>43626</v>
      </c>
      <c r="AO17" s="213">
        <v>16660</v>
      </c>
      <c r="AP17" s="30">
        <v>0.38188236372805207</v>
      </c>
      <c r="AQ17" s="83"/>
      <c r="AR17" s="161">
        <v>66406</v>
      </c>
      <c r="AS17" s="161">
        <v>10647</v>
      </c>
      <c r="AT17" s="161">
        <v>43644</v>
      </c>
      <c r="AU17" s="161">
        <v>45982</v>
      </c>
      <c r="AV17" s="161">
        <v>18319</v>
      </c>
      <c r="AW17" s="161">
        <v>7443</v>
      </c>
      <c r="AX17" s="161">
        <v>31638</v>
      </c>
      <c r="AY17" s="43">
        <v>27388</v>
      </c>
      <c r="AZ17" s="43">
        <v>13584</v>
      </c>
      <c r="BA17" s="43">
        <v>27513</v>
      </c>
    </row>
    <row r="18" spans="1:53" ht="12.75" customHeight="1">
      <c r="A18" s="7"/>
      <c r="B18" s="7" t="s">
        <v>72</v>
      </c>
      <c r="C18" s="38">
        <v>-1587</v>
      </c>
      <c r="D18" s="30">
        <v>-0.21766561514195584</v>
      </c>
      <c r="E18" s="592"/>
      <c r="F18" s="465"/>
      <c r="G18" s="465">
        <v>5704</v>
      </c>
      <c r="H18" s="465">
        <v>6132</v>
      </c>
      <c r="I18" s="216">
        <v>6805</v>
      </c>
      <c r="J18" s="465">
        <v>6758</v>
      </c>
      <c r="K18" s="465">
        <v>7291</v>
      </c>
      <c r="L18" s="465">
        <v>6758</v>
      </c>
      <c r="M18" s="216">
        <v>8392</v>
      </c>
      <c r="N18" s="465">
        <v>8205</v>
      </c>
      <c r="O18" s="465">
        <v>8147</v>
      </c>
      <c r="P18" s="465">
        <v>7590</v>
      </c>
      <c r="Q18" s="216">
        <v>7857</v>
      </c>
      <c r="R18" s="465">
        <v>7707</v>
      </c>
      <c r="S18" s="465">
        <v>7753</v>
      </c>
      <c r="T18" s="465">
        <v>5436</v>
      </c>
      <c r="U18" s="216">
        <v>3144</v>
      </c>
      <c r="V18" s="465">
        <v>3269</v>
      </c>
      <c r="W18" s="465">
        <v>3099</v>
      </c>
      <c r="X18" s="465">
        <v>3121</v>
      </c>
      <c r="Y18" s="216">
        <v>3476</v>
      </c>
      <c r="Z18" s="465">
        <v>5116</v>
      </c>
      <c r="AA18" s="465">
        <v>9108</v>
      </c>
      <c r="AB18" s="465">
        <v>11734</v>
      </c>
      <c r="AC18" s="216">
        <v>12329</v>
      </c>
      <c r="AD18" s="167">
        <v>14574</v>
      </c>
      <c r="AE18" s="167">
        <v>16011</v>
      </c>
      <c r="AF18" s="167">
        <v>16273</v>
      </c>
      <c r="AG18" s="168">
        <v>16310</v>
      </c>
      <c r="AH18" s="177">
        <v>15656</v>
      </c>
      <c r="AI18" s="168">
        <v>14355</v>
      </c>
      <c r="AJ18" s="168">
        <v>14259</v>
      </c>
      <c r="AK18" s="168">
        <v>13638</v>
      </c>
      <c r="AL18" s="89"/>
      <c r="AM18" s="380">
        <v>18641</v>
      </c>
      <c r="AN18" s="380">
        <v>22441</v>
      </c>
      <c r="AO18" s="213">
        <v>-3800</v>
      </c>
      <c r="AP18" s="395">
        <v>-0.1693329174279221</v>
      </c>
      <c r="AQ18" s="83"/>
      <c r="AR18" s="161">
        <v>29199</v>
      </c>
      <c r="AS18" s="161">
        <v>31799</v>
      </c>
      <c r="AT18" s="161">
        <v>24040</v>
      </c>
      <c r="AU18" s="161">
        <v>12965</v>
      </c>
      <c r="AV18" s="161">
        <v>38287</v>
      </c>
      <c r="AW18" s="161">
        <v>63168</v>
      </c>
      <c r="AX18" s="161">
        <v>57908</v>
      </c>
      <c r="AY18" s="43">
        <v>36915</v>
      </c>
      <c r="AZ18" s="43">
        <v>26488</v>
      </c>
      <c r="BA18" s="43">
        <v>15853</v>
      </c>
    </row>
    <row r="19" spans="1:53" ht="12.75" customHeight="1">
      <c r="A19" s="7"/>
      <c r="B19" s="7" t="s">
        <v>73</v>
      </c>
      <c r="C19" s="38">
        <v>542</v>
      </c>
      <c r="D19" s="30">
        <v>0.11605995717344754</v>
      </c>
      <c r="E19" s="592"/>
      <c r="F19" s="465"/>
      <c r="G19" s="465">
        <v>5212</v>
      </c>
      <c r="H19" s="465">
        <v>6282</v>
      </c>
      <c r="I19" s="216">
        <v>3113</v>
      </c>
      <c r="J19" s="465">
        <v>6309</v>
      </c>
      <c r="K19" s="465">
        <v>4670</v>
      </c>
      <c r="L19" s="465">
        <v>8675</v>
      </c>
      <c r="M19" s="216">
        <v>3276</v>
      </c>
      <c r="N19" s="465">
        <v>10361</v>
      </c>
      <c r="O19" s="465">
        <v>8502</v>
      </c>
      <c r="P19" s="465">
        <v>1527</v>
      </c>
      <c r="Q19" s="216">
        <v>6556</v>
      </c>
      <c r="R19" s="465">
        <v>11150</v>
      </c>
      <c r="S19" s="465">
        <v>6998</v>
      </c>
      <c r="T19" s="465">
        <v>6799</v>
      </c>
      <c r="U19" s="216">
        <v>3937</v>
      </c>
      <c r="V19" s="465">
        <v>7246</v>
      </c>
      <c r="W19" s="465">
        <v>5340</v>
      </c>
      <c r="X19" s="465">
        <v>4786</v>
      </c>
      <c r="Y19" s="216">
        <v>11175</v>
      </c>
      <c r="Z19" s="465">
        <v>5335</v>
      </c>
      <c r="AA19" s="465">
        <v>2628</v>
      </c>
      <c r="AB19" s="465">
        <v>4354</v>
      </c>
      <c r="AC19" s="216">
        <v>6325</v>
      </c>
      <c r="AD19" s="167">
        <v>5511</v>
      </c>
      <c r="AE19" s="167">
        <v>7087</v>
      </c>
      <c r="AF19" s="167">
        <v>7062</v>
      </c>
      <c r="AG19" s="168">
        <v>8347</v>
      </c>
      <c r="AH19" s="177">
        <v>4538</v>
      </c>
      <c r="AI19" s="168">
        <v>2366</v>
      </c>
      <c r="AJ19" s="168">
        <v>2708</v>
      </c>
      <c r="AK19" s="168">
        <v>3811</v>
      </c>
      <c r="AL19" s="89"/>
      <c r="AM19" s="380">
        <v>14607</v>
      </c>
      <c r="AN19" s="380">
        <v>16621</v>
      </c>
      <c r="AO19" s="213">
        <v>-2014</v>
      </c>
      <c r="AP19" s="395">
        <v>-0.12117201131099212</v>
      </c>
      <c r="AQ19" s="83"/>
      <c r="AR19" s="161">
        <v>22930</v>
      </c>
      <c r="AS19" s="161">
        <v>26946</v>
      </c>
      <c r="AT19" s="161">
        <v>28884</v>
      </c>
      <c r="AU19" s="161">
        <v>28547</v>
      </c>
      <c r="AV19" s="161">
        <v>18642</v>
      </c>
      <c r="AW19" s="161">
        <v>28007</v>
      </c>
      <c r="AX19" s="161">
        <v>13423</v>
      </c>
      <c r="AY19" s="43">
        <v>13446</v>
      </c>
      <c r="AZ19" s="43">
        <v>9278</v>
      </c>
      <c r="BA19" s="43">
        <v>8548</v>
      </c>
    </row>
    <row r="20" spans="1:53" ht="12.75" customHeight="1">
      <c r="A20" s="8"/>
      <c r="B20" s="7"/>
      <c r="C20" s="169">
        <v>956</v>
      </c>
      <c r="D20" s="170">
        <v>0.004156467524336639</v>
      </c>
      <c r="E20" s="592"/>
      <c r="F20" s="473">
        <v>0</v>
      </c>
      <c r="G20" s="473">
        <v>230959</v>
      </c>
      <c r="H20" s="473">
        <v>183306</v>
      </c>
      <c r="I20" s="221">
        <v>187231</v>
      </c>
      <c r="J20" s="473">
        <v>217971</v>
      </c>
      <c r="K20" s="473">
        <v>230003</v>
      </c>
      <c r="L20" s="473">
        <v>186599</v>
      </c>
      <c r="M20" s="221">
        <v>162549</v>
      </c>
      <c r="N20" s="473">
        <v>177692</v>
      </c>
      <c r="O20" s="473">
        <v>147889</v>
      </c>
      <c r="P20" s="473">
        <v>119500</v>
      </c>
      <c r="Q20" s="221">
        <v>159783</v>
      </c>
      <c r="R20" s="473">
        <v>247595</v>
      </c>
      <c r="S20" s="473">
        <v>254834</v>
      </c>
      <c r="T20" s="473">
        <v>149285</v>
      </c>
      <c r="U20" s="221">
        <v>151917</v>
      </c>
      <c r="V20" s="473">
        <v>143133</v>
      </c>
      <c r="W20" s="473">
        <v>173197</v>
      </c>
      <c r="X20" s="473">
        <v>123744</v>
      </c>
      <c r="Y20" s="221">
        <v>137463</v>
      </c>
      <c r="Z20" s="473">
        <v>106996</v>
      </c>
      <c r="AA20" s="473">
        <v>87188</v>
      </c>
      <c r="AB20" s="473">
        <v>110829</v>
      </c>
      <c r="AC20" s="221">
        <v>172708</v>
      </c>
      <c r="AD20" s="172">
        <v>143446</v>
      </c>
      <c r="AE20" s="172">
        <v>183354</v>
      </c>
      <c r="AF20" s="172">
        <v>158869</v>
      </c>
      <c r="AG20" s="173">
        <v>245870</v>
      </c>
      <c r="AH20" s="493">
        <v>216443</v>
      </c>
      <c r="AI20" s="173">
        <v>178313</v>
      </c>
      <c r="AJ20" s="173">
        <v>156031</v>
      </c>
      <c r="AK20" s="173">
        <v>206127</v>
      </c>
      <c r="AL20" s="89"/>
      <c r="AM20" s="473">
        <v>601496</v>
      </c>
      <c r="AN20" s="473">
        <v>579151</v>
      </c>
      <c r="AO20" s="172">
        <v>22345</v>
      </c>
      <c r="AP20" s="399">
        <v>0.03858233863016726</v>
      </c>
      <c r="AQ20" s="83"/>
      <c r="AR20" s="171">
        <v>797122</v>
      </c>
      <c r="AS20" s="171">
        <v>604864</v>
      </c>
      <c r="AT20" s="171">
        <v>803631</v>
      </c>
      <c r="AU20" s="171">
        <v>577537</v>
      </c>
      <c r="AV20" s="171">
        <v>477721</v>
      </c>
      <c r="AW20" s="171">
        <v>731539</v>
      </c>
      <c r="AX20" s="171">
        <v>756914</v>
      </c>
      <c r="AY20" s="355">
        <v>583415</v>
      </c>
      <c r="AZ20" s="355">
        <v>432778</v>
      </c>
      <c r="BA20" s="355">
        <v>402157</v>
      </c>
    </row>
    <row r="21" spans="1:54" ht="12.75" customHeight="1">
      <c r="A21" s="142" t="s">
        <v>5</v>
      </c>
      <c r="B21" s="7"/>
      <c r="C21" s="38"/>
      <c r="D21" s="30"/>
      <c r="E21" s="592"/>
      <c r="F21" s="465"/>
      <c r="G21" s="465"/>
      <c r="H21" s="465"/>
      <c r="I21" s="216"/>
      <c r="J21" s="465"/>
      <c r="K21" s="465"/>
      <c r="L21" s="465"/>
      <c r="M21" s="216"/>
      <c r="N21" s="41"/>
      <c r="O21" s="442"/>
      <c r="P21" s="465"/>
      <c r="Q21" s="216"/>
      <c r="R21" s="41"/>
      <c r="S21" s="442"/>
      <c r="U21" s="216"/>
      <c r="V21" s="41"/>
      <c r="W21" s="465"/>
      <c r="X21" s="465"/>
      <c r="Y21" s="216"/>
      <c r="Z21" s="41"/>
      <c r="AA21" s="465"/>
      <c r="AB21" s="465"/>
      <c r="AC21" s="216"/>
      <c r="AD21" s="167"/>
      <c r="AE21" s="167"/>
      <c r="AF21" s="167"/>
      <c r="AG21" s="168"/>
      <c r="AH21" s="177"/>
      <c r="AI21" s="168"/>
      <c r="AJ21" s="168"/>
      <c r="AK21" s="168"/>
      <c r="AL21" s="89"/>
      <c r="AM21" s="148"/>
      <c r="AN21" s="148"/>
      <c r="AO21" s="213"/>
      <c r="AP21" s="395"/>
      <c r="AQ21" s="83"/>
      <c r="AR21" s="89"/>
      <c r="AS21" s="89"/>
      <c r="AT21" s="89"/>
      <c r="AU21" s="89"/>
      <c r="AV21" s="89"/>
      <c r="AW21" s="161"/>
      <c r="AX21" s="161"/>
      <c r="AY21" s="43"/>
      <c r="AZ21" s="43"/>
      <c r="BA21" s="43"/>
      <c r="BB21" s="25"/>
    </row>
    <row r="22" spans="1:54" ht="12.75" customHeight="1">
      <c r="A22" s="142"/>
      <c r="B22" s="7" t="s">
        <v>399</v>
      </c>
      <c r="C22" s="38">
        <v>1072</v>
      </c>
      <c r="D22" s="30">
        <v>0.010326956052636648</v>
      </c>
      <c r="E22" s="592"/>
      <c r="F22" s="465"/>
      <c r="G22" s="465">
        <v>104878</v>
      </c>
      <c r="H22" s="465">
        <v>79362</v>
      </c>
      <c r="I22" s="216">
        <v>77026</v>
      </c>
      <c r="J22" s="465">
        <v>103619</v>
      </c>
      <c r="K22" s="465">
        <v>103806</v>
      </c>
      <c r="L22" s="465">
        <v>82742</v>
      </c>
      <c r="M22" s="216">
        <v>72663</v>
      </c>
      <c r="N22" s="621">
        <v>88463</v>
      </c>
      <c r="O22" s="621">
        <v>62981</v>
      </c>
      <c r="P22" s="621">
        <v>54138</v>
      </c>
      <c r="Q22" s="762">
        <v>77401</v>
      </c>
      <c r="R22" s="621">
        <v>121923</v>
      </c>
      <c r="S22" s="621">
        <v>122575</v>
      </c>
      <c r="T22" s="610">
        <v>65815</v>
      </c>
      <c r="U22" s="762"/>
      <c r="V22" s="621"/>
      <c r="W22" s="621"/>
      <c r="X22" s="621"/>
      <c r="Y22" s="762"/>
      <c r="Z22" s="621"/>
      <c r="AA22" s="621"/>
      <c r="AB22" s="621"/>
      <c r="AC22" s="762"/>
      <c r="AD22" s="741"/>
      <c r="AE22" s="741"/>
      <c r="AF22" s="741"/>
      <c r="AG22" s="855"/>
      <c r="AH22" s="662"/>
      <c r="AI22" s="855"/>
      <c r="AJ22" s="855"/>
      <c r="AK22" s="855"/>
      <c r="AL22" s="662"/>
      <c r="AM22" s="380">
        <v>261266</v>
      </c>
      <c r="AN22" s="380">
        <v>259211</v>
      </c>
      <c r="AO22" s="213">
        <v>2055</v>
      </c>
      <c r="AP22" s="30">
        <v>0.007927904294185046</v>
      </c>
      <c r="AQ22" s="83"/>
      <c r="AR22" s="161">
        <v>362830</v>
      </c>
      <c r="AS22" s="161">
        <v>282983</v>
      </c>
      <c r="AT22" s="161">
        <v>380311</v>
      </c>
      <c r="AU22" s="161">
        <v>281291</v>
      </c>
      <c r="AV22" s="161">
        <v>214550</v>
      </c>
      <c r="AW22" s="161">
        <v>337942</v>
      </c>
      <c r="AX22" s="161"/>
      <c r="AY22" s="43"/>
      <c r="AZ22" s="43"/>
      <c r="BA22" s="43"/>
      <c r="BB22" s="25"/>
    </row>
    <row r="23" spans="1:54" ht="12.75" customHeight="1">
      <c r="A23" s="142"/>
      <c r="B23" s="7" t="s">
        <v>400</v>
      </c>
      <c r="C23" s="471">
        <v>-332</v>
      </c>
      <c r="D23" s="149">
        <v>-0.03213628883941535</v>
      </c>
      <c r="E23" s="592"/>
      <c r="F23" s="475"/>
      <c r="G23" s="475">
        <v>9999</v>
      </c>
      <c r="H23" s="475">
        <v>8149</v>
      </c>
      <c r="I23" s="219">
        <v>9299</v>
      </c>
      <c r="J23" s="475">
        <v>9678</v>
      </c>
      <c r="K23" s="475">
        <v>10331</v>
      </c>
      <c r="L23" s="475">
        <v>11772</v>
      </c>
      <c r="M23" s="219">
        <v>12113</v>
      </c>
      <c r="N23" s="859">
        <v>7178</v>
      </c>
      <c r="O23" s="859">
        <v>6834</v>
      </c>
      <c r="P23" s="859">
        <v>7700</v>
      </c>
      <c r="Q23" s="860">
        <v>213</v>
      </c>
      <c r="R23" s="859">
        <v>-2540</v>
      </c>
      <c r="S23" s="859">
        <v>4065</v>
      </c>
      <c r="T23" s="611">
        <v>4723</v>
      </c>
      <c r="U23" s="762"/>
      <c r="V23" s="621"/>
      <c r="W23" s="621"/>
      <c r="X23" s="621"/>
      <c r="Y23" s="762"/>
      <c r="Z23" s="621"/>
      <c r="AA23" s="621"/>
      <c r="AB23" s="621"/>
      <c r="AC23" s="762"/>
      <c r="AD23" s="741"/>
      <c r="AE23" s="741"/>
      <c r="AF23" s="741"/>
      <c r="AG23" s="855"/>
      <c r="AH23" s="662"/>
      <c r="AI23" s="855"/>
      <c r="AJ23" s="855"/>
      <c r="AK23" s="855"/>
      <c r="AL23" s="662"/>
      <c r="AM23" s="229">
        <v>27447</v>
      </c>
      <c r="AN23" s="388">
        <v>34216</v>
      </c>
      <c r="AO23" s="396">
        <v>-6769</v>
      </c>
      <c r="AP23" s="149">
        <v>-0.19783142389525368</v>
      </c>
      <c r="AQ23" s="83"/>
      <c r="AR23" s="206">
        <v>43894</v>
      </c>
      <c r="AS23" s="206">
        <v>21925</v>
      </c>
      <c r="AT23" s="206">
        <v>8735</v>
      </c>
      <c r="AU23" s="206">
        <v>17793</v>
      </c>
      <c r="AV23" s="206">
        <v>7456</v>
      </c>
      <c r="AW23" s="206">
        <v>9137</v>
      </c>
      <c r="AX23" s="161"/>
      <c r="AY23" s="43"/>
      <c r="AZ23" s="43"/>
      <c r="BA23" s="43"/>
      <c r="BB23" s="25"/>
    </row>
    <row r="24" spans="1:56" ht="12.75" customHeight="1">
      <c r="A24" s="8"/>
      <c r="B24" s="83" t="s">
        <v>260</v>
      </c>
      <c r="C24" s="38">
        <v>740</v>
      </c>
      <c r="D24" s="30">
        <v>0.006483436571839106</v>
      </c>
      <c r="E24" s="592"/>
      <c r="F24" s="465">
        <v>0</v>
      </c>
      <c r="G24" s="465">
        <v>114877</v>
      </c>
      <c r="H24" s="465">
        <v>87511</v>
      </c>
      <c r="I24" s="216">
        <v>86325</v>
      </c>
      <c r="J24" s="465">
        <v>113297</v>
      </c>
      <c r="K24" s="465">
        <v>114137</v>
      </c>
      <c r="L24" s="465">
        <v>94514</v>
      </c>
      <c r="M24" s="216">
        <v>84776</v>
      </c>
      <c r="N24" s="465">
        <v>95641</v>
      </c>
      <c r="O24" s="465">
        <v>69815</v>
      </c>
      <c r="P24" s="465">
        <v>61838</v>
      </c>
      <c r="Q24" s="216">
        <v>77614</v>
      </c>
      <c r="R24" s="465">
        <v>119383</v>
      </c>
      <c r="S24" s="465">
        <v>126640</v>
      </c>
      <c r="T24" s="465">
        <v>70538</v>
      </c>
      <c r="U24" s="216">
        <v>72485</v>
      </c>
      <c r="V24" s="465">
        <v>72783</v>
      </c>
      <c r="W24" s="465">
        <v>93872</v>
      </c>
      <c r="X24" s="465">
        <v>63966</v>
      </c>
      <c r="Y24" s="216">
        <v>68463</v>
      </c>
      <c r="Z24" s="465">
        <v>45003</v>
      </c>
      <c r="AA24" s="465">
        <v>43299</v>
      </c>
      <c r="AB24" s="465">
        <v>50977</v>
      </c>
      <c r="AC24" s="216">
        <v>82727</v>
      </c>
      <c r="AD24" s="167">
        <v>63479</v>
      </c>
      <c r="AE24" s="167">
        <v>90778</v>
      </c>
      <c r="AF24" s="167">
        <v>71416</v>
      </c>
      <c r="AG24" s="168">
        <v>121406</v>
      </c>
      <c r="AH24" s="177">
        <v>113502</v>
      </c>
      <c r="AI24" s="168">
        <v>89466</v>
      </c>
      <c r="AJ24" s="168">
        <v>74974</v>
      </c>
      <c r="AK24" s="168">
        <v>104955</v>
      </c>
      <c r="AL24" s="89"/>
      <c r="AM24" s="380">
        <v>288713</v>
      </c>
      <c r="AN24" s="380">
        <v>293427</v>
      </c>
      <c r="AO24" s="213">
        <v>-4714</v>
      </c>
      <c r="AP24" s="30">
        <v>-0.016065324595214484</v>
      </c>
      <c r="AQ24" s="83"/>
      <c r="AR24" s="161">
        <v>406724</v>
      </c>
      <c r="AS24" s="161">
        <v>304908</v>
      </c>
      <c r="AT24" s="161">
        <v>389046</v>
      </c>
      <c r="AU24" s="161">
        <v>299084</v>
      </c>
      <c r="AV24" s="161">
        <v>222006</v>
      </c>
      <c r="AW24" s="161">
        <v>347079</v>
      </c>
      <c r="AX24" s="161">
        <v>382897</v>
      </c>
      <c r="AY24" s="43">
        <v>299188</v>
      </c>
      <c r="AZ24" s="43">
        <v>220454</v>
      </c>
      <c r="BA24" s="43">
        <v>218802</v>
      </c>
      <c r="BB24" s="25"/>
      <c r="BD24" s="376"/>
    </row>
    <row r="25" spans="1:54" ht="12.75" customHeight="1">
      <c r="A25" s="8"/>
      <c r="B25" s="7" t="s">
        <v>74</v>
      </c>
      <c r="C25" s="38">
        <v>268</v>
      </c>
      <c r="D25" s="30">
        <v>0.012712266388388198</v>
      </c>
      <c r="E25" s="592"/>
      <c r="F25" s="465"/>
      <c r="G25" s="465">
        <v>21350</v>
      </c>
      <c r="H25" s="465">
        <v>21506</v>
      </c>
      <c r="I25" s="216">
        <v>23110</v>
      </c>
      <c r="J25" s="465">
        <v>22825</v>
      </c>
      <c r="K25" s="465">
        <v>21082</v>
      </c>
      <c r="L25" s="465">
        <v>21417</v>
      </c>
      <c r="M25" s="216">
        <v>23198</v>
      </c>
      <c r="N25" s="465">
        <v>17635</v>
      </c>
      <c r="O25" s="465">
        <v>15009</v>
      </c>
      <c r="P25" s="465">
        <v>14163</v>
      </c>
      <c r="Q25" s="216">
        <v>17117</v>
      </c>
      <c r="R25" s="465">
        <v>17543</v>
      </c>
      <c r="S25" s="465">
        <v>14739</v>
      </c>
      <c r="T25" s="465">
        <v>16322</v>
      </c>
      <c r="U25" s="216">
        <v>15816</v>
      </c>
      <c r="V25" s="465">
        <v>16685</v>
      </c>
      <c r="W25" s="465">
        <v>14945</v>
      </c>
      <c r="X25" s="465">
        <v>13983</v>
      </c>
      <c r="Y25" s="216">
        <v>13802</v>
      </c>
      <c r="Z25" s="465">
        <v>14316</v>
      </c>
      <c r="AA25" s="465">
        <v>12817</v>
      </c>
      <c r="AB25" s="465">
        <v>14195</v>
      </c>
      <c r="AC25" s="216">
        <v>15443</v>
      </c>
      <c r="AD25" s="167">
        <v>14718</v>
      </c>
      <c r="AE25" s="167">
        <v>12658</v>
      </c>
      <c r="AF25" s="167">
        <v>12649</v>
      </c>
      <c r="AG25" s="168">
        <v>14269</v>
      </c>
      <c r="AH25" s="177">
        <v>12862</v>
      </c>
      <c r="AI25" s="168">
        <v>11610</v>
      </c>
      <c r="AJ25" s="168">
        <v>10643</v>
      </c>
      <c r="AK25" s="168">
        <v>12493</v>
      </c>
      <c r="AL25" s="89"/>
      <c r="AM25" s="380">
        <v>65966</v>
      </c>
      <c r="AN25" s="380">
        <v>65697</v>
      </c>
      <c r="AO25" s="213">
        <v>269</v>
      </c>
      <c r="AP25" s="30">
        <v>0.004094555306939434</v>
      </c>
      <c r="AQ25" s="83"/>
      <c r="AR25" s="161">
        <v>88522</v>
      </c>
      <c r="AS25" s="161">
        <v>63924</v>
      </c>
      <c r="AT25" s="161">
        <v>64420</v>
      </c>
      <c r="AU25" s="161">
        <v>59415</v>
      </c>
      <c r="AV25" s="161">
        <v>56771</v>
      </c>
      <c r="AW25" s="161">
        <v>54294</v>
      </c>
      <c r="AX25" s="161">
        <v>47608</v>
      </c>
      <c r="AY25" s="43">
        <v>42019</v>
      </c>
      <c r="AZ25" s="43">
        <v>45715</v>
      </c>
      <c r="BA25" s="43">
        <v>37193</v>
      </c>
      <c r="BB25" s="25"/>
    </row>
    <row r="26" spans="1:54" s="104" customFormat="1" ht="12.75">
      <c r="A26" s="8"/>
      <c r="B26" s="7" t="s">
        <v>75</v>
      </c>
      <c r="C26" s="38">
        <v>951</v>
      </c>
      <c r="D26" s="30">
        <v>0.0912755542758422</v>
      </c>
      <c r="E26" s="592"/>
      <c r="F26" s="465"/>
      <c r="G26" s="465">
        <v>11370</v>
      </c>
      <c r="H26" s="465">
        <v>10336</v>
      </c>
      <c r="I26" s="216">
        <v>11967</v>
      </c>
      <c r="J26" s="465">
        <v>10697</v>
      </c>
      <c r="K26" s="465">
        <v>10419</v>
      </c>
      <c r="L26" s="465">
        <v>10189</v>
      </c>
      <c r="M26" s="216">
        <v>12587</v>
      </c>
      <c r="N26" s="465">
        <v>6190</v>
      </c>
      <c r="O26" s="465">
        <v>7416</v>
      </c>
      <c r="P26" s="465">
        <v>7742</v>
      </c>
      <c r="Q26" s="216">
        <v>8965</v>
      </c>
      <c r="R26" s="465">
        <v>8624</v>
      </c>
      <c r="S26" s="465">
        <v>7937</v>
      </c>
      <c r="T26" s="465">
        <v>7241</v>
      </c>
      <c r="U26" s="216">
        <v>7705</v>
      </c>
      <c r="V26" s="465">
        <v>7418</v>
      </c>
      <c r="W26" s="465">
        <v>7140</v>
      </c>
      <c r="X26" s="465">
        <v>7002</v>
      </c>
      <c r="Y26" s="216">
        <v>7324</v>
      </c>
      <c r="Z26" s="465">
        <v>6565</v>
      </c>
      <c r="AA26" s="465">
        <v>6708</v>
      </c>
      <c r="AB26" s="465">
        <v>6717</v>
      </c>
      <c r="AC26" s="216">
        <v>6321</v>
      </c>
      <c r="AD26" s="272">
        <v>5829</v>
      </c>
      <c r="AE26" s="272">
        <v>7054</v>
      </c>
      <c r="AF26" s="272">
        <v>7249</v>
      </c>
      <c r="AG26" s="374">
        <v>6958</v>
      </c>
      <c r="AH26" s="85">
        <v>6718</v>
      </c>
      <c r="AI26" s="374">
        <v>6056</v>
      </c>
      <c r="AJ26" s="374">
        <v>6119</v>
      </c>
      <c r="AK26" s="374">
        <v>8559</v>
      </c>
      <c r="AL26" s="86"/>
      <c r="AM26" s="380">
        <v>33673</v>
      </c>
      <c r="AN26" s="380">
        <v>33195</v>
      </c>
      <c r="AO26" s="153">
        <v>478</v>
      </c>
      <c r="AP26" s="30">
        <v>0.014399758999849376</v>
      </c>
      <c r="AQ26" s="144"/>
      <c r="AR26" s="161">
        <v>43892</v>
      </c>
      <c r="AS26" s="161">
        <v>30313</v>
      </c>
      <c r="AT26" s="161">
        <v>31507</v>
      </c>
      <c r="AU26" s="161">
        <v>28884</v>
      </c>
      <c r="AV26" s="161">
        <v>26311</v>
      </c>
      <c r="AW26" s="161">
        <v>27090</v>
      </c>
      <c r="AX26" s="161">
        <v>27452</v>
      </c>
      <c r="AY26" s="43">
        <v>20615</v>
      </c>
      <c r="AZ26" s="43">
        <v>16863</v>
      </c>
      <c r="BA26" s="43">
        <v>17310</v>
      </c>
      <c r="BB26" s="760"/>
    </row>
    <row r="27" spans="1:54" s="104" customFormat="1" ht="12.75">
      <c r="A27" s="8"/>
      <c r="B27" s="7" t="s">
        <v>76</v>
      </c>
      <c r="C27" s="38">
        <v>588</v>
      </c>
      <c r="D27" s="30">
        <v>0.06186868686868687</v>
      </c>
      <c r="E27" s="592"/>
      <c r="F27" s="465"/>
      <c r="G27" s="465">
        <v>10092</v>
      </c>
      <c r="H27" s="465">
        <v>9823</v>
      </c>
      <c r="I27" s="216">
        <v>9335</v>
      </c>
      <c r="J27" s="465">
        <v>9924</v>
      </c>
      <c r="K27" s="465">
        <v>9504</v>
      </c>
      <c r="L27" s="465">
        <v>10842</v>
      </c>
      <c r="M27" s="216">
        <v>10854</v>
      </c>
      <c r="N27" s="465">
        <v>7354</v>
      </c>
      <c r="O27" s="465">
        <v>6633</v>
      </c>
      <c r="P27" s="465">
        <v>6727</v>
      </c>
      <c r="Q27" s="216">
        <v>6832</v>
      </c>
      <c r="R27" s="465">
        <v>7403</v>
      </c>
      <c r="S27" s="465">
        <v>7077</v>
      </c>
      <c r="T27" s="465">
        <v>6640</v>
      </c>
      <c r="U27" s="216">
        <v>6038</v>
      </c>
      <c r="V27" s="465">
        <v>6188</v>
      </c>
      <c r="W27" s="465">
        <v>6228</v>
      </c>
      <c r="X27" s="465">
        <v>6104</v>
      </c>
      <c r="Y27" s="216">
        <v>5882</v>
      </c>
      <c r="Z27" s="465">
        <v>6404</v>
      </c>
      <c r="AA27" s="465">
        <v>6549</v>
      </c>
      <c r="AB27" s="465">
        <v>5957</v>
      </c>
      <c r="AC27" s="216">
        <v>5785</v>
      </c>
      <c r="AD27" s="272">
        <v>5970</v>
      </c>
      <c r="AE27" s="272">
        <v>5781</v>
      </c>
      <c r="AF27" s="272">
        <v>5735</v>
      </c>
      <c r="AG27" s="374">
        <v>5259</v>
      </c>
      <c r="AH27" s="85">
        <v>7612</v>
      </c>
      <c r="AI27" s="374">
        <v>5810</v>
      </c>
      <c r="AJ27" s="374">
        <v>5814</v>
      </c>
      <c r="AK27" s="374">
        <v>5937</v>
      </c>
      <c r="AL27" s="86"/>
      <c r="AM27" s="380">
        <v>29250</v>
      </c>
      <c r="AN27" s="380">
        <v>31200</v>
      </c>
      <c r="AO27" s="153">
        <v>-1950</v>
      </c>
      <c r="AP27" s="30">
        <v>-0.0625</v>
      </c>
      <c r="AQ27" s="144"/>
      <c r="AR27" s="161">
        <v>41124</v>
      </c>
      <c r="AS27" s="161">
        <v>27546</v>
      </c>
      <c r="AT27" s="161">
        <v>27158</v>
      </c>
      <c r="AU27" s="161">
        <v>24402</v>
      </c>
      <c r="AV27" s="161">
        <v>24695</v>
      </c>
      <c r="AW27" s="161">
        <v>22745</v>
      </c>
      <c r="AX27" s="161">
        <v>25173</v>
      </c>
      <c r="AY27" s="43">
        <v>15843</v>
      </c>
      <c r="AZ27" s="43">
        <v>11849</v>
      </c>
      <c r="BA27" s="43">
        <v>13017</v>
      </c>
      <c r="BB27" s="760"/>
    </row>
    <row r="28" spans="1:54" s="104" customFormat="1" ht="12.75">
      <c r="A28" s="8"/>
      <c r="B28" s="9" t="s">
        <v>77</v>
      </c>
      <c r="C28" s="38">
        <v>205</v>
      </c>
      <c r="D28" s="30">
        <v>0.01688632619439868</v>
      </c>
      <c r="E28" s="592"/>
      <c r="F28" s="465"/>
      <c r="G28" s="465">
        <v>12345</v>
      </c>
      <c r="H28" s="465">
        <v>11406</v>
      </c>
      <c r="I28" s="216">
        <v>10524</v>
      </c>
      <c r="J28" s="465">
        <v>11390</v>
      </c>
      <c r="K28" s="465">
        <v>12140</v>
      </c>
      <c r="L28" s="465">
        <v>11280</v>
      </c>
      <c r="M28" s="216">
        <v>14305</v>
      </c>
      <c r="N28" s="465">
        <v>8458</v>
      </c>
      <c r="O28" s="465">
        <v>6744</v>
      </c>
      <c r="P28" s="465">
        <v>6752</v>
      </c>
      <c r="Q28" s="216">
        <v>6389</v>
      </c>
      <c r="R28" s="465">
        <v>6307</v>
      </c>
      <c r="S28" s="465">
        <v>6111</v>
      </c>
      <c r="T28" s="465">
        <v>6779</v>
      </c>
      <c r="U28" s="216">
        <v>6269</v>
      </c>
      <c r="V28" s="465">
        <v>5296</v>
      </c>
      <c r="W28" s="465">
        <v>5838</v>
      </c>
      <c r="X28" s="465">
        <v>5245</v>
      </c>
      <c r="Y28" s="216">
        <v>5489</v>
      </c>
      <c r="Z28" s="465">
        <v>6249</v>
      </c>
      <c r="AA28" s="465">
        <v>6277</v>
      </c>
      <c r="AB28" s="465">
        <v>6539</v>
      </c>
      <c r="AC28" s="216">
        <v>6163</v>
      </c>
      <c r="AD28" s="272">
        <v>6065</v>
      </c>
      <c r="AE28" s="272">
        <v>5611</v>
      </c>
      <c r="AF28" s="272">
        <v>5813</v>
      </c>
      <c r="AG28" s="374">
        <v>5739</v>
      </c>
      <c r="AH28" s="85">
        <v>5670</v>
      </c>
      <c r="AI28" s="374">
        <v>5352</v>
      </c>
      <c r="AJ28" s="374">
        <v>5387</v>
      </c>
      <c r="AK28" s="374">
        <v>5063</v>
      </c>
      <c r="AL28" s="86"/>
      <c r="AM28" s="380">
        <v>34275</v>
      </c>
      <c r="AN28" s="380">
        <v>37725</v>
      </c>
      <c r="AO28" s="153">
        <v>-3450</v>
      </c>
      <c r="AP28" s="30">
        <v>-0.09145129224652088</v>
      </c>
      <c r="AQ28" s="144"/>
      <c r="AR28" s="161">
        <v>49115</v>
      </c>
      <c r="AS28" s="161">
        <v>28343</v>
      </c>
      <c r="AT28" s="161">
        <v>25466</v>
      </c>
      <c r="AU28" s="161">
        <v>21868</v>
      </c>
      <c r="AV28" s="161">
        <v>25228</v>
      </c>
      <c r="AW28" s="161">
        <v>23228</v>
      </c>
      <c r="AX28" s="161">
        <v>21472</v>
      </c>
      <c r="AY28" s="43">
        <v>16598</v>
      </c>
      <c r="AZ28" s="43">
        <v>14037</v>
      </c>
      <c r="BA28" s="43">
        <v>12290</v>
      </c>
      <c r="BB28" s="760"/>
    </row>
    <row r="29" spans="1:54" s="104" customFormat="1" ht="12.75">
      <c r="A29" s="8"/>
      <c r="B29" s="7" t="s">
        <v>72</v>
      </c>
      <c r="C29" s="38">
        <v>-106</v>
      </c>
      <c r="D29" s="30">
        <v>-0.026626475759859332</v>
      </c>
      <c r="E29" s="592"/>
      <c r="F29" s="465"/>
      <c r="G29" s="465">
        <v>3875</v>
      </c>
      <c r="H29" s="465">
        <v>4063</v>
      </c>
      <c r="I29" s="216">
        <v>4643</v>
      </c>
      <c r="J29" s="465">
        <v>3479</v>
      </c>
      <c r="K29" s="465">
        <v>3981</v>
      </c>
      <c r="L29" s="465">
        <v>3291</v>
      </c>
      <c r="M29" s="216">
        <v>4551</v>
      </c>
      <c r="N29" s="465">
        <v>3080</v>
      </c>
      <c r="O29" s="465">
        <v>2361</v>
      </c>
      <c r="P29" s="465">
        <v>1967</v>
      </c>
      <c r="Q29" s="216">
        <v>2408</v>
      </c>
      <c r="R29" s="465">
        <v>2485</v>
      </c>
      <c r="S29" s="465">
        <v>3037</v>
      </c>
      <c r="T29" s="465">
        <v>1673</v>
      </c>
      <c r="U29" s="216">
        <v>616</v>
      </c>
      <c r="V29" s="465">
        <v>613</v>
      </c>
      <c r="W29" s="465">
        <v>631</v>
      </c>
      <c r="X29" s="465">
        <v>492</v>
      </c>
      <c r="Y29" s="216">
        <v>845</v>
      </c>
      <c r="Z29" s="465">
        <v>1339</v>
      </c>
      <c r="AA29" s="465">
        <v>2568</v>
      </c>
      <c r="AB29" s="465">
        <v>3354</v>
      </c>
      <c r="AC29" s="216">
        <v>3959</v>
      </c>
      <c r="AD29" s="272">
        <v>5372</v>
      </c>
      <c r="AE29" s="272">
        <v>6574</v>
      </c>
      <c r="AF29" s="272">
        <v>6413</v>
      </c>
      <c r="AG29" s="374">
        <v>6168</v>
      </c>
      <c r="AH29" s="85">
        <v>5228</v>
      </c>
      <c r="AI29" s="374">
        <v>4926</v>
      </c>
      <c r="AJ29" s="374">
        <v>5402</v>
      </c>
      <c r="AK29" s="374">
        <v>4982</v>
      </c>
      <c r="AL29" s="86"/>
      <c r="AM29" s="380">
        <v>12581</v>
      </c>
      <c r="AN29" s="380">
        <v>11823</v>
      </c>
      <c r="AO29" s="153">
        <v>758</v>
      </c>
      <c r="AP29" s="30">
        <v>0.06411232343736785</v>
      </c>
      <c r="AQ29" s="144"/>
      <c r="AR29" s="161">
        <v>15302</v>
      </c>
      <c r="AS29" s="161">
        <v>9816</v>
      </c>
      <c r="AT29" s="161">
        <v>7811</v>
      </c>
      <c r="AU29" s="161">
        <v>2581</v>
      </c>
      <c r="AV29" s="161">
        <v>11220</v>
      </c>
      <c r="AW29" s="161">
        <v>24527</v>
      </c>
      <c r="AX29" s="161">
        <v>20538</v>
      </c>
      <c r="AY29" s="43">
        <v>10914</v>
      </c>
      <c r="AZ29" s="43">
        <v>7824</v>
      </c>
      <c r="BA29" s="43">
        <v>3994</v>
      </c>
      <c r="BB29" s="760"/>
    </row>
    <row r="30" spans="1:54" s="104" customFormat="1" ht="12.75">
      <c r="A30" s="8"/>
      <c r="B30" s="7" t="s">
        <v>78</v>
      </c>
      <c r="C30" s="38">
        <v>-1732</v>
      </c>
      <c r="D30" s="30">
        <v>-0.07274560040320888</v>
      </c>
      <c r="E30" s="592"/>
      <c r="F30" s="465"/>
      <c r="G30" s="465">
        <v>22077</v>
      </c>
      <c r="H30" s="465">
        <v>20440</v>
      </c>
      <c r="I30" s="216">
        <v>20823</v>
      </c>
      <c r="J30" s="465">
        <v>20722</v>
      </c>
      <c r="K30" s="465">
        <v>23809</v>
      </c>
      <c r="L30" s="465">
        <v>20957</v>
      </c>
      <c r="M30" s="216">
        <v>24016</v>
      </c>
      <c r="N30" s="465">
        <v>20795</v>
      </c>
      <c r="O30" s="465">
        <v>16191</v>
      </c>
      <c r="P30" s="465">
        <v>16263</v>
      </c>
      <c r="Q30" s="216">
        <v>16274</v>
      </c>
      <c r="R30" s="465">
        <v>19052</v>
      </c>
      <c r="S30" s="465">
        <v>17049</v>
      </c>
      <c r="T30" s="465">
        <v>15990</v>
      </c>
      <c r="U30" s="216">
        <v>15791</v>
      </c>
      <c r="V30" s="465">
        <v>14958</v>
      </c>
      <c r="W30" s="465">
        <v>13609</v>
      </c>
      <c r="X30" s="465">
        <v>11698</v>
      </c>
      <c r="Y30" s="216">
        <v>11888</v>
      </c>
      <c r="Z30" s="465">
        <v>10974</v>
      </c>
      <c r="AA30" s="465">
        <v>19827</v>
      </c>
      <c r="AB30" s="465">
        <v>19611</v>
      </c>
      <c r="AC30" s="216">
        <v>19277</v>
      </c>
      <c r="AD30" s="272">
        <v>18047</v>
      </c>
      <c r="AE30" s="272">
        <v>17390</v>
      </c>
      <c r="AF30" s="272">
        <v>15755</v>
      </c>
      <c r="AG30" s="374">
        <v>18271</v>
      </c>
      <c r="AH30" s="85">
        <v>16375</v>
      </c>
      <c r="AI30" s="374">
        <v>14413</v>
      </c>
      <c r="AJ30" s="374">
        <v>14287</v>
      </c>
      <c r="AK30" s="374">
        <v>19107</v>
      </c>
      <c r="AL30" s="86"/>
      <c r="AM30" s="380">
        <v>63340</v>
      </c>
      <c r="AN30" s="380">
        <v>68782</v>
      </c>
      <c r="AO30" s="153">
        <v>-5442</v>
      </c>
      <c r="AP30" s="30">
        <v>-0.07911953708819168</v>
      </c>
      <c r="AQ30" s="144"/>
      <c r="AR30" s="161">
        <v>89504</v>
      </c>
      <c r="AS30" s="161">
        <v>69523</v>
      </c>
      <c r="AT30" s="161">
        <v>67882</v>
      </c>
      <c r="AU30" s="161">
        <v>52153</v>
      </c>
      <c r="AV30" s="161">
        <v>69689</v>
      </c>
      <c r="AW30" s="161">
        <v>69463</v>
      </c>
      <c r="AX30" s="161">
        <v>64182</v>
      </c>
      <c r="AY30" s="43">
        <v>46227</v>
      </c>
      <c r="AZ30" s="43">
        <v>32171</v>
      </c>
      <c r="BA30" s="43">
        <v>25189</v>
      </c>
      <c r="BB30" s="760"/>
    </row>
    <row r="31" spans="1:54" s="104" customFormat="1" ht="12.75">
      <c r="A31" s="8"/>
      <c r="B31" s="7" t="s">
        <v>79</v>
      </c>
      <c r="C31" s="38">
        <v>-1648</v>
      </c>
      <c r="D31" s="30">
        <v>-0.19623719933317457</v>
      </c>
      <c r="E31" s="592"/>
      <c r="F31" s="465"/>
      <c r="G31" s="465">
        <v>6750</v>
      </c>
      <c r="H31" s="465">
        <v>6020</v>
      </c>
      <c r="I31" s="216">
        <v>6561</v>
      </c>
      <c r="J31" s="465">
        <v>9490</v>
      </c>
      <c r="K31" s="465">
        <v>8398</v>
      </c>
      <c r="L31" s="465">
        <v>7755</v>
      </c>
      <c r="M31" s="216">
        <v>8136</v>
      </c>
      <c r="N31" s="465">
        <v>4350</v>
      </c>
      <c r="O31" s="465">
        <v>3906</v>
      </c>
      <c r="P31" s="465">
        <v>2947</v>
      </c>
      <c r="Q31" s="216">
        <v>2905</v>
      </c>
      <c r="R31" s="465">
        <v>2966</v>
      </c>
      <c r="S31" s="465">
        <v>2786</v>
      </c>
      <c r="T31" s="465">
        <v>3706</v>
      </c>
      <c r="U31" s="216">
        <v>3284</v>
      </c>
      <c r="V31" s="465">
        <v>1878</v>
      </c>
      <c r="W31" s="465">
        <v>1904</v>
      </c>
      <c r="X31" s="465">
        <v>1906</v>
      </c>
      <c r="Y31" s="216">
        <v>1921</v>
      </c>
      <c r="Z31" s="465">
        <v>2129</v>
      </c>
      <c r="AA31" s="465">
        <v>2751</v>
      </c>
      <c r="AB31" s="465">
        <v>2072</v>
      </c>
      <c r="AC31" s="216">
        <v>2042</v>
      </c>
      <c r="AD31" s="272">
        <v>2216</v>
      </c>
      <c r="AE31" s="272">
        <v>2197</v>
      </c>
      <c r="AF31" s="272">
        <v>2146</v>
      </c>
      <c r="AG31" s="374">
        <v>1977</v>
      </c>
      <c r="AH31" s="85">
        <v>1999</v>
      </c>
      <c r="AI31" s="374">
        <v>1797</v>
      </c>
      <c r="AJ31" s="374">
        <v>2366</v>
      </c>
      <c r="AK31" s="374">
        <v>1989</v>
      </c>
      <c r="AL31" s="86"/>
      <c r="AM31" s="380">
        <v>19331</v>
      </c>
      <c r="AN31" s="380">
        <v>24289</v>
      </c>
      <c r="AO31" s="153">
        <v>-4958</v>
      </c>
      <c r="AP31" s="30">
        <v>-0.2041253242208407</v>
      </c>
      <c r="AQ31" s="144"/>
      <c r="AR31" s="161">
        <v>33779</v>
      </c>
      <c r="AS31" s="161">
        <v>14108</v>
      </c>
      <c r="AT31" s="161">
        <v>12742</v>
      </c>
      <c r="AU31" s="161">
        <v>7609</v>
      </c>
      <c r="AV31" s="161">
        <v>8994</v>
      </c>
      <c r="AW31" s="161">
        <v>8536</v>
      </c>
      <c r="AX31" s="161">
        <v>8151</v>
      </c>
      <c r="AY31" s="43">
        <v>4817</v>
      </c>
      <c r="AZ31" s="43">
        <v>3185</v>
      </c>
      <c r="BA31" s="43">
        <v>3565</v>
      </c>
      <c r="BB31" s="760"/>
    </row>
    <row r="32" spans="1:57" ht="12.75">
      <c r="A32" s="7"/>
      <c r="B32" s="7" t="s">
        <v>80</v>
      </c>
      <c r="C32" s="38">
        <v>-2868</v>
      </c>
      <c r="D32" s="30">
        <v>-0.42992055164143306</v>
      </c>
      <c r="E32" s="592"/>
      <c r="F32" s="465"/>
      <c r="G32" s="465">
        <v>3803</v>
      </c>
      <c r="H32" s="465">
        <v>7671</v>
      </c>
      <c r="I32" s="216">
        <v>4830</v>
      </c>
      <c r="J32" s="465">
        <v>3715</v>
      </c>
      <c r="K32" s="465">
        <v>6671</v>
      </c>
      <c r="L32" s="465">
        <v>4515</v>
      </c>
      <c r="M32" s="216">
        <v>4625</v>
      </c>
      <c r="N32" s="465">
        <v>4867</v>
      </c>
      <c r="O32" s="465">
        <v>5755</v>
      </c>
      <c r="P32" s="465">
        <v>5041</v>
      </c>
      <c r="Q32" s="216">
        <v>5530</v>
      </c>
      <c r="R32" s="465">
        <v>5516</v>
      </c>
      <c r="S32" s="465">
        <v>5792</v>
      </c>
      <c r="T32" s="465">
        <v>5787</v>
      </c>
      <c r="U32" s="216">
        <v>5292</v>
      </c>
      <c r="V32" s="465">
        <v>6839</v>
      </c>
      <c r="W32" s="465">
        <v>6720</v>
      </c>
      <c r="X32" s="465">
        <v>5487</v>
      </c>
      <c r="Y32" s="216">
        <v>5854</v>
      </c>
      <c r="Z32" s="465">
        <v>7190</v>
      </c>
      <c r="AA32" s="465">
        <v>7738</v>
      </c>
      <c r="AB32" s="465">
        <v>6383</v>
      </c>
      <c r="AC32" s="216">
        <v>7462</v>
      </c>
      <c r="AD32" s="167">
        <v>9936</v>
      </c>
      <c r="AE32" s="167">
        <v>6774</v>
      </c>
      <c r="AF32" s="167">
        <v>8166</v>
      </c>
      <c r="AG32" s="168">
        <v>7173</v>
      </c>
      <c r="AH32" s="177">
        <v>6341</v>
      </c>
      <c r="AI32" s="168">
        <v>5247</v>
      </c>
      <c r="AJ32" s="168">
        <v>5789</v>
      </c>
      <c r="AK32" s="168">
        <v>3867</v>
      </c>
      <c r="AL32" s="89"/>
      <c r="AM32" s="380">
        <v>16304</v>
      </c>
      <c r="AN32" s="380">
        <v>15811</v>
      </c>
      <c r="AO32" s="213">
        <v>493</v>
      </c>
      <c r="AP32" s="30">
        <v>0.03118082347732591</v>
      </c>
      <c r="AQ32" s="83"/>
      <c r="AR32" s="161">
        <v>19526</v>
      </c>
      <c r="AS32" s="161">
        <v>21193</v>
      </c>
      <c r="AT32" s="161">
        <v>22387</v>
      </c>
      <c r="AU32" s="161">
        <v>24900</v>
      </c>
      <c r="AV32" s="161">
        <v>28773</v>
      </c>
      <c r="AW32" s="161">
        <v>32049</v>
      </c>
      <c r="AX32" s="161">
        <v>21244</v>
      </c>
      <c r="AY32" s="43">
        <v>9797</v>
      </c>
      <c r="AZ32" s="43">
        <v>7924</v>
      </c>
      <c r="BA32" s="43">
        <v>8240</v>
      </c>
      <c r="BB32" s="25"/>
      <c r="BC32" s="376"/>
      <c r="BD32" s="376"/>
      <c r="BE32" s="376"/>
    </row>
    <row r="33" spans="1:54" ht="12.75" customHeight="1">
      <c r="A33" s="8"/>
      <c r="B33" s="7" t="s">
        <v>193</v>
      </c>
      <c r="C33" s="38">
        <v>-6310</v>
      </c>
      <c r="D33" s="30">
        <v>-1</v>
      </c>
      <c r="E33" s="592"/>
      <c r="F33" s="213"/>
      <c r="G33" s="213">
        <v>0</v>
      </c>
      <c r="H33" s="213">
        <v>5486</v>
      </c>
      <c r="I33" s="168">
        <v>0</v>
      </c>
      <c r="J33" s="213">
        <v>6445</v>
      </c>
      <c r="K33" s="213">
        <v>6310</v>
      </c>
      <c r="L33" s="213">
        <v>18862</v>
      </c>
      <c r="M33" s="168">
        <v>0</v>
      </c>
      <c r="N33" s="213">
        <v>28961</v>
      </c>
      <c r="O33" s="213">
        <v>6292</v>
      </c>
      <c r="P33" s="213">
        <v>0</v>
      </c>
      <c r="Q33" s="168">
        <v>0</v>
      </c>
      <c r="R33" s="213">
        <v>0</v>
      </c>
      <c r="S33" s="213">
        <v>0</v>
      </c>
      <c r="T33" s="213">
        <v>0</v>
      </c>
      <c r="U33" s="168">
        <v>0</v>
      </c>
      <c r="V33" s="213">
        <v>0</v>
      </c>
      <c r="W33" s="213">
        <v>0</v>
      </c>
      <c r="X33" s="213">
        <v>0</v>
      </c>
      <c r="Y33" s="168">
        <v>0</v>
      </c>
      <c r="Z33" s="465">
        <v>142</v>
      </c>
      <c r="AA33" s="465">
        <v>7520</v>
      </c>
      <c r="AB33" s="213">
        <v>0</v>
      </c>
      <c r="AC33" s="168">
        <v>0</v>
      </c>
      <c r="AD33" s="167">
        <v>4000</v>
      </c>
      <c r="AE33" s="167">
        <v>0</v>
      </c>
      <c r="AF33" s="167">
        <v>0</v>
      </c>
      <c r="AG33" s="168">
        <v>0</v>
      </c>
      <c r="AH33" s="177">
        <v>0</v>
      </c>
      <c r="AI33" s="168">
        <v>0</v>
      </c>
      <c r="AJ33" s="168"/>
      <c r="AK33" s="168"/>
      <c r="AL33" s="89"/>
      <c r="AM33" s="213">
        <v>5486</v>
      </c>
      <c r="AN33" s="213">
        <v>25172</v>
      </c>
      <c r="AO33" s="213">
        <v>-19686</v>
      </c>
      <c r="AP33" s="30">
        <v>-0.7820594311139362</v>
      </c>
      <c r="AQ33" s="83"/>
      <c r="AR33" s="161">
        <v>31617</v>
      </c>
      <c r="AS33" s="161">
        <v>35253</v>
      </c>
      <c r="AT33" s="177">
        <v>0</v>
      </c>
      <c r="AU33" s="177">
        <v>0</v>
      </c>
      <c r="AV33" s="177">
        <v>7662</v>
      </c>
      <c r="AW33" s="177">
        <v>4000</v>
      </c>
      <c r="AX33" s="177">
        <v>0</v>
      </c>
      <c r="AY33" s="43">
        <v>0</v>
      </c>
      <c r="AZ33" s="43">
        <v>0</v>
      </c>
      <c r="BA33" s="43">
        <v>0</v>
      </c>
      <c r="BB33" s="25"/>
    </row>
    <row r="34" spans="1:54" ht="12.75" customHeight="1">
      <c r="A34" s="7"/>
      <c r="B34" s="7" t="s">
        <v>218</v>
      </c>
      <c r="C34" s="38">
        <v>-431</v>
      </c>
      <c r="D34" s="30">
        <v>-1</v>
      </c>
      <c r="E34" s="592"/>
      <c r="F34" s="213"/>
      <c r="G34" s="213">
        <v>0</v>
      </c>
      <c r="H34" s="213">
        <v>0</v>
      </c>
      <c r="I34" s="168">
        <v>0</v>
      </c>
      <c r="J34" s="213">
        <v>0</v>
      </c>
      <c r="K34" s="213">
        <v>431</v>
      </c>
      <c r="L34" s="213">
        <v>1288</v>
      </c>
      <c r="M34" s="168">
        <v>0</v>
      </c>
      <c r="N34" s="213">
        <v>10400</v>
      </c>
      <c r="O34" s="213">
        <v>2700</v>
      </c>
      <c r="P34" s="213">
        <v>2956</v>
      </c>
      <c r="Q34" s="168">
        <v>0</v>
      </c>
      <c r="R34" s="213">
        <v>0</v>
      </c>
      <c r="S34" s="213">
        <v>1750</v>
      </c>
      <c r="T34" s="213">
        <v>0</v>
      </c>
      <c r="U34" s="168">
        <v>10990</v>
      </c>
      <c r="V34" s="213">
        <v>5000</v>
      </c>
      <c r="W34" s="213">
        <v>0</v>
      </c>
      <c r="X34" s="213">
        <v>0</v>
      </c>
      <c r="Y34" s="168">
        <v>0</v>
      </c>
      <c r="Z34" s="213">
        <v>0</v>
      </c>
      <c r="AA34" s="213">
        <v>0</v>
      </c>
      <c r="AB34" s="213">
        <v>0</v>
      </c>
      <c r="AC34" s="168">
        <v>0</v>
      </c>
      <c r="AD34" s="167">
        <v>0</v>
      </c>
      <c r="AE34" s="167"/>
      <c r="AF34" s="167"/>
      <c r="AG34" s="168"/>
      <c r="AH34" s="177"/>
      <c r="AI34" s="168"/>
      <c r="AJ34" s="168"/>
      <c r="AK34" s="168"/>
      <c r="AL34" s="89"/>
      <c r="AM34" s="213">
        <v>0</v>
      </c>
      <c r="AN34" s="213">
        <v>1719</v>
      </c>
      <c r="AO34" s="213">
        <v>-1719</v>
      </c>
      <c r="AP34" s="30">
        <v>-1</v>
      </c>
      <c r="AQ34" s="83"/>
      <c r="AR34" s="161">
        <v>1719</v>
      </c>
      <c r="AS34" s="161">
        <v>16056</v>
      </c>
      <c r="AT34" s="161">
        <v>12740</v>
      </c>
      <c r="AU34" s="177">
        <v>5000</v>
      </c>
      <c r="AV34" s="177">
        <v>0</v>
      </c>
      <c r="AW34" s="175">
        <v>0</v>
      </c>
      <c r="AX34" s="177">
        <v>0</v>
      </c>
      <c r="AY34" s="43">
        <v>0</v>
      </c>
      <c r="AZ34" s="43"/>
      <c r="BA34" s="43"/>
      <c r="BB34" s="25"/>
    </row>
    <row r="35" spans="1:54" ht="12.75" customHeight="1">
      <c r="A35" s="7"/>
      <c r="B35" s="7" t="s">
        <v>81</v>
      </c>
      <c r="C35" s="38">
        <v>0</v>
      </c>
      <c r="D35" s="30">
        <v>0</v>
      </c>
      <c r="E35" s="592"/>
      <c r="F35" s="213"/>
      <c r="G35" s="213">
        <v>0</v>
      </c>
      <c r="H35" s="213">
        <v>0</v>
      </c>
      <c r="I35" s="168">
        <v>0</v>
      </c>
      <c r="J35" s="213">
        <v>0</v>
      </c>
      <c r="K35" s="213">
        <v>0</v>
      </c>
      <c r="L35" s="213">
        <v>0</v>
      </c>
      <c r="M35" s="168">
        <v>0</v>
      </c>
      <c r="N35" s="213">
        <v>0</v>
      </c>
      <c r="O35" s="213">
        <v>0</v>
      </c>
      <c r="P35" s="213">
        <v>0</v>
      </c>
      <c r="Q35" s="168">
        <v>0</v>
      </c>
      <c r="R35" s="213">
        <v>0</v>
      </c>
      <c r="S35" s="213">
        <v>0</v>
      </c>
      <c r="T35" s="213">
        <v>0</v>
      </c>
      <c r="U35" s="168">
        <v>0</v>
      </c>
      <c r="V35" s="213">
        <v>0</v>
      </c>
      <c r="W35" s="213">
        <v>0</v>
      </c>
      <c r="X35" s="213">
        <v>0</v>
      </c>
      <c r="Y35" s="168">
        <v>0</v>
      </c>
      <c r="Z35" s="213">
        <v>0</v>
      </c>
      <c r="AA35" s="213">
        <v>6700</v>
      </c>
      <c r="AB35" s="213">
        <v>0</v>
      </c>
      <c r="AC35" s="168">
        <v>0</v>
      </c>
      <c r="AD35" s="167">
        <v>4172</v>
      </c>
      <c r="AE35" s="167">
        <v>4226</v>
      </c>
      <c r="AF35" s="167">
        <v>4399</v>
      </c>
      <c r="AG35" s="168">
        <v>0</v>
      </c>
      <c r="AH35" s="177">
        <v>0</v>
      </c>
      <c r="AI35" s="168">
        <v>0</v>
      </c>
      <c r="AJ35" s="168">
        <v>0</v>
      </c>
      <c r="AK35" s="168">
        <v>0</v>
      </c>
      <c r="AL35" s="89"/>
      <c r="AM35" s="213">
        <v>0</v>
      </c>
      <c r="AN35" s="213">
        <v>0</v>
      </c>
      <c r="AO35" s="213">
        <v>0</v>
      </c>
      <c r="AP35" s="168">
        <v>0</v>
      </c>
      <c r="AQ35" s="83"/>
      <c r="AR35" s="744">
        <v>0</v>
      </c>
      <c r="AS35" s="744">
        <v>0</v>
      </c>
      <c r="AT35" s="177">
        <v>0</v>
      </c>
      <c r="AU35" s="177">
        <v>0</v>
      </c>
      <c r="AV35" s="177">
        <v>6700</v>
      </c>
      <c r="AW35" s="176">
        <v>12797</v>
      </c>
      <c r="AX35" s="177">
        <v>0</v>
      </c>
      <c r="AY35" s="43">
        <v>0</v>
      </c>
      <c r="AZ35" s="43">
        <v>0</v>
      </c>
      <c r="BA35" s="43">
        <v>0</v>
      </c>
      <c r="BB35" s="25"/>
    </row>
    <row r="36" spans="1:54" ht="12.75" customHeight="1">
      <c r="A36" s="7"/>
      <c r="B36" s="7" t="s">
        <v>192</v>
      </c>
      <c r="C36" s="38">
        <v>0</v>
      </c>
      <c r="D36" s="30">
        <v>0</v>
      </c>
      <c r="E36" s="592"/>
      <c r="F36" s="213"/>
      <c r="G36" s="213">
        <v>0</v>
      </c>
      <c r="H36" s="213">
        <v>0</v>
      </c>
      <c r="I36" s="168">
        <v>0</v>
      </c>
      <c r="J36" s="213">
        <v>0</v>
      </c>
      <c r="K36" s="213">
        <v>0</v>
      </c>
      <c r="L36" s="213">
        <v>0</v>
      </c>
      <c r="M36" s="168">
        <v>0</v>
      </c>
      <c r="N36" s="213">
        <v>0</v>
      </c>
      <c r="O36" s="213">
        <v>0</v>
      </c>
      <c r="P36" s="213">
        <v>0</v>
      </c>
      <c r="Q36" s="168">
        <v>0</v>
      </c>
      <c r="R36" s="213">
        <v>0</v>
      </c>
      <c r="S36" s="213">
        <v>0</v>
      </c>
      <c r="T36" s="213">
        <v>0</v>
      </c>
      <c r="U36" s="168">
        <v>0</v>
      </c>
      <c r="V36" s="213">
        <v>0</v>
      </c>
      <c r="W36" s="213">
        <v>0</v>
      </c>
      <c r="X36" s="213">
        <v>0</v>
      </c>
      <c r="Y36" s="168">
        <v>0</v>
      </c>
      <c r="Z36" s="213">
        <v>0</v>
      </c>
      <c r="AA36" s="213">
        <v>5347</v>
      </c>
      <c r="AB36" s="213">
        <v>0</v>
      </c>
      <c r="AC36" s="168">
        <v>0</v>
      </c>
      <c r="AD36" s="167">
        <v>54200</v>
      </c>
      <c r="AE36" s="167">
        <v>0</v>
      </c>
      <c r="AF36" s="167">
        <v>0</v>
      </c>
      <c r="AG36" s="168">
        <v>0</v>
      </c>
      <c r="AH36" s="177">
        <v>0</v>
      </c>
      <c r="AI36" s="168">
        <v>0</v>
      </c>
      <c r="AJ36" s="168">
        <v>0</v>
      </c>
      <c r="AK36" s="168">
        <v>0</v>
      </c>
      <c r="AL36" s="89"/>
      <c r="AM36" s="213">
        <v>0</v>
      </c>
      <c r="AN36" s="213">
        <v>0</v>
      </c>
      <c r="AO36" s="213">
        <v>0</v>
      </c>
      <c r="AP36" s="168">
        <v>0</v>
      </c>
      <c r="AQ36" s="83"/>
      <c r="AR36" s="744">
        <v>0</v>
      </c>
      <c r="AS36" s="744">
        <v>0</v>
      </c>
      <c r="AT36" s="177">
        <v>0</v>
      </c>
      <c r="AU36" s="177">
        <v>0</v>
      </c>
      <c r="AV36" s="177">
        <v>5347</v>
      </c>
      <c r="AW36" s="176">
        <v>54200</v>
      </c>
      <c r="AX36" s="177">
        <v>0</v>
      </c>
      <c r="AY36" s="43">
        <v>0</v>
      </c>
      <c r="AZ36" s="43">
        <v>0</v>
      </c>
      <c r="BA36" s="43">
        <v>0</v>
      </c>
      <c r="BB36" s="25"/>
    </row>
    <row r="37" spans="1:54" ht="12.75" customHeight="1">
      <c r="A37" s="7"/>
      <c r="B37" s="7" t="s">
        <v>191</v>
      </c>
      <c r="C37" s="38">
        <v>0</v>
      </c>
      <c r="D37" s="30">
        <v>0</v>
      </c>
      <c r="E37" s="592"/>
      <c r="F37" s="213"/>
      <c r="G37" s="213">
        <v>0</v>
      </c>
      <c r="H37" s="213">
        <v>0</v>
      </c>
      <c r="I37" s="168">
        <v>0</v>
      </c>
      <c r="J37" s="213">
        <v>0</v>
      </c>
      <c r="K37" s="213">
        <v>0</v>
      </c>
      <c r="L37" s="213">
        <v>0</v>
      </c>
      <c r="M37" s="168">
        <v>0</v>
      </c>
      <c r="N37" s="213">
        <v>0</v>
      </c>
      <c r="O37" s="213">
        <v>0</v>
      </c>
      <c r="P37" s="213">
        <v>0</v>
      </c>
      <c r="Q37" s="168">
        <v>0</v>
      </c>
      <c r="R37" s="213">
        <v>0</v>
      </c>
      <c r="S37" s="213">
        <v>0</v>
      </c>
      <c r="T37" s="213">
        <v>0</v>
      </c>
      <c r="U37" s="168">
        <v>0</v>
      </c>
      <c r="V37" s="213">
        <v>0</v>
      </c>
      <c r="W37" s="213">
        <v>0</v>
      </c>
      <c r="X37" s="213">
        <v>0</v>
      </c>
      <c r="Y37" s="168">
        <v>0</v>
      </c>
      <c r="Z37" s="213">
        <v>0</v>
      </c>
      <c r="AA37" s="213">
        <v>31524</v>
      </c>
      <c r="AB37" s="213">
        <v>0</v>
      </c>
      <c r="AC37" s="168">
        <v>0</v>
      </c>
      <c r="AD37" s="167">
        <v>0</v>
      </c>
      <c r="AE37" s="167">
        <v>0</v>
      </c>
      <c r="AF37" s="167">
        <v>0</v>
      </c>
      <c r="AG37" s="168">
        <v>0</v>
      </c>
      <c r="AH37" s="177">
        <v>0</v>
      </c>
      <c r="AI37" s="168">
        <v>0</v>
      </c>
      <c r="AJ37" s="168"/>
      <c r="AK37" s="168"/>
      <c r="AL37" s="89"/>
      <c r="AM37" s="213">
        <v>0</v>
      </c>
      <c r="AN37" s="213">
        <v>0</v>
      </c>
      <c r="AO37" s="213">
        <v>0</v>
      </c>
      <c r="AP37" s="168">
        <v>0</v>
      </c>
      <c r="AQ37" s="83"/>
      <c r="AR37" s="744">
        <v>0</v>
      </c>
      <c r="AS37" s="744">
        <v>0</v>
      </c>
      <c r="AT37" s="177">
        <v>0</v>
      </c>
      <c r="AU37" s="177">
        <v>0</v>
      </c>
      <c r="AV37" s="177">
        <v>31524</v>
      </c>
      <c r="AW37" s="175">
        <v>0</v>
      </c>
      <c r="AX37" s="177">
        <v>0</v>
      </c>
      <c r="AY37" s="43">
        <v>0</v>
      </c>
      <c r="AZ37" s="43">
        <v>0</v>
      </c>
      <c r="BA37" s="43">
        <v>0</v>
      </c>
      <c r="BB37" s="25"/>
    </row>
    <row r="38" spans="1:54" ht="12.75" customHeight="1">
      <c r="A38" s="8"/>
      <c r="B38" s="7"/>
      <c r="C38" s="1336">
        <v>-10343</v>
      </c>
      <c r="D38" s="170">
        <v>-0.04768952702391162</v>
      </c>
      <c r="E38" s="592"/>
      <c r="F38" s="220">
        <v>0</v>
      </c>
      <c r="G38" s="220">
        <v>206539</v>
      </c>
      <c r="H38" s="220">
        <v>184262</v>
      </c>
      <c r="I38" s="221">
        <v>178118</v>
      </c>
      <c r="J38" s="220">
        <v>211984</v>
      </c>
      <c r="K38" s="220">
        <v>216882</v>
      </c>
      <c r="L38" s="220">
        <v>204910</v>
      </c>
      <c r="M38" s="221">
        <v>187048</v>
      </c>
      <c r="N38" s="220">
        <v>207731</v>
      </c>
      <c r="O38" s="220">
        <v>142822</v>
      </c>
      <c r="P38" s="220">
        <v>126396</v>
      </c>
      <c r="Q38" s="221">
        <v>144034</v>
      </c>
      <c r="R38" s="220">
        <v>189279</v>
      </c>
      <c r="S38" s="220">
        <v>192918</v>
      </c>
      <c r="T38" s="220">
        <v>134676</v>
      </c>
      <c r="U38" s="221">
        <v>144286</v>
      </c>
      <c r="V38" s="220">
        <v>137658</v>
      </c>
      <c r="W38" s="220">
        <v>150887</v>
      </c>
      <c r="X38" s="220">
        <v>115883</v>
      </c>
      <c r="Y38" s="221">
        <v>121468</v>
      </c>
      <c r="Z38" s="220">
        <v>100311</v>
      </c>
      <c r="AA38" s="220">
        <v>159625</v>
      </c>
      <c r="AB38" s="220">
        <v>115805</v>
      </c>
      <c r="AC38" s="221">
        <v>149179</v>
      </c>
      <c r="AD38" s="172">
        <v>194004</v>
      </c>
      <c r="AE38" s="172">
        <v>159043</v>
      </c>
      <c r="AF38" s="172">
        <v>139741</v>
      </c>
      <c r="AG38" s="173">
        <v>187220</v>
      </c>
      <c r="AH38" s="493">
        <v>176307</v>
      </c>
      <c r="AI38" s="173">
        <v>144677</v>
      </c>
      <c r="AJ38" s="173">
        <v>130781</v>
      </c>
      <c r="AK38" s="173">
        <v>166952</v>
      </c>
      <c r="AL38" s="89"/>
      <c r="AM38" s="220">
        <v>568919</v>
      </c>
      <c r="AN38" s="220">
        <v>608840</v>
      </c>
      <c r="AO38" s="172">
        <v>-39921</v>
      </c>
      <c r="AP38" s="742">
        <v>-0.0655689507916694</v>
      </c>
      <c r="AQ38" s="83"/>
      <c r="AR38" s="1334">
        <v>820824</v>
      </c>
      <c r="AS38" s="1334">
        <v>620983</v>
      </c>
      <c r="AT38" s="1334">
        <v>661159</v>
      </c>
      <c r="AU38" s="1334">
        <v>525896</v>
      </c>
      <c r="AV38" s="1334">
        <v>524920</v>
      </c>
      <c r="AW38" s="171">
        <v>680008</v>
      </c>
      <c r="AX38" s="171">
        <v>618717</v>
      </c>
      <c r="AY38" s="355">
        <v>466018</v>
      </c>
      <c r="AZ38" s="355">
        <v>360022</v>
      </c>
      <c r="BA38" s="355">
        <v>339600</v>
      </c>
      <c r="BB38" s="25"/>
    </row>
    <row r="39" spans="1:54" ht="9" customHeight="1">
      <c r="A39" s="8"/>
      <c r="B39" s="7"/>
      <c r="C39" s="174"/>
      <c r="D39" s="30"/>
      <c r="E39" s="592"/>
      <c r="F39" s="465"/>
      <c r="G39" s="465"/>
      <c r="H39" s="465"/>
      <c r="I39" s="216"/>
      <c r="J39" s="465"/>
      <c r="K39" s="465"/>
      <c r="L39" s="465"/>
      <c r="M39" s="216"/>
      <c r="N39" s="465"/>
      <c r="O39" s="465"/>
      <c r="P39" s="465"/>
      <c r="Q39" s="216"/>
      <c r="R39" s="465"/>
      <c r="S39" s="465"/>
      <c r="T39" s="465"/>
      <c r="U39" s="216"/>
      <c r="V39" s="465"/>
      <c r="W39" s="465"/>
      <c r="X39" s="465"/>
      <c r="Y39" s="216"/>
      <c r="Z39" s="465"/>
      <c r="AA39" s="465"/>
      <c r="AB39" s="465"/>
      <c r="AC39" s="216"/>
      <c r="AD39" s="167"/>
      <c r="AE39" s="167"/>
      <c r="AF39" s="167"/>
      <c r="AG39" s="168"/>
      <c r="AH39" s="177"/>
      <c r="AI39" s="168"/>
      <c r="AJ39" s="168"/>
      <c r="AK39" s="168"/>
      <c r="AL39" s="89"/>
      <c r="AM39" s="465"/>
      <c r="AN39" s="465"/>
      <c r="AO39" s="213"/>
      <c r="AP39" s="553"/>
      <c r="AQ39" s="83"/>
      <c r="AR39" s="763"/>
      <c r="AS39" s="763"/>
      <c r="AT39" s="763"/>
      <c r="AU39" s="763"/>
      <c r="AV39" s="763"/>
      <c r="AW39" s="161"/>
      <c r="AX39" s="161"/>
      <c r="AY39" s="43"/>
      <c r="AZ39" s="43"/>
      <c r="BA39" s="43"/>
      <c r="BB39" s="25"/>
    </row>
    <row r="40" spans="1:54" s="96" customFormat="1" ht="12.75" customHeight="1">
      <c r="A40" s="143" t="s">
        <v>82</v>
      </c>
      <c r="B40" s="142"/>
      <c r="C40" s="174">
        <v>11299</v>
      </c>
      <c r="D40" s="30">
        <v>0.8611386327261642</v>
      </c>
      <c r="E40" s="592"/>
      <c r="F40" s="212">
        <v>0</v>
      </c>
      <c r="G40" s="212">
        <v>24420</v>
      </c>
      <c r="H40" s="488">
        <v>-956</v>
      </c>
      <c r="I40" s="216">
        <v>9113</v>
      </c>
      <c r="J40" s="212">
        <v>5987</v>
      </c>
      <c r="K40" s="212">
        <v>13121</v>
      </c>
      <c r="L40" s="488">
        <v>-18311</v>
      </c>
      <c r="M40" s="762">
        <v>-24499</v>
      </c>
      <c r="N40" s="488">
        <v>-30039</v>
      </c>
      <c r="O40" s="488">
        <v>5067</v>
      </c>
      <c r="P40" s="488">
        <v>-6896</v>
      </c>
      <c r="Q40" s="762">
        <v>15749</v>
      </c>
      <c r="R40" s="488">
        <v>58316</v>
      </c>
      <c r="S40" s="488">
        <v>61916</v>
      </c>
      <c r="T40" s="488">
        <v>14609</v>
      </c>
      <c r="U40" s="762">
        <v>7631</v>
      </c>
      <c r="V40" s="488">
        <v>5475</v>
      </c>
      <c r="W40" s="488">
        <v>22310</v>
      </c>
      <c r="X40" s="488">
        <v>7861</v>
      </c>
      <c r="Y40" s="762">
        <v>15995</v>
      </c>
      <c r="Z40" s="488">
        <v>6685</v>
      </c>
      <c r="AA40" s="488">
        <v>-72437</v>
      </c>
      <c r="AB40" s="488">
        <v>-4976</v>
      </c>
      <c r="AC40" s="762">
        <v>23529</v>
      </c>
      <c r="AD40" s="741">
        <v>-50558</v>
      </c>
      <c r="AE40" s="741">
        <v>24311</v>
      </c>
      <c r="AF40" s="741">
        <v>19128</v>
      </c>
      <c r="AG40" s="855">
        <v>58650</v>
      </c>
      <c r="AH40" s="662">
        <v>40136</v>
      </c>
      <c r="AI40" s="855">
        <v>33636</v>
      </c>
      <c r="AJ40" s="855">
        <v>25250</v>
      </c>
      <c r="AK40" s="855">
        <v>39175</v>
      </c>
      <c r="AL40" s="662"/>
      <c r="AM40" s="488">
        <v>32577</v>
      </c>
      <c r="AN40" s="488">
        <v>-29689</v>
      </c>
      <c r="AO40" s="610">
        <v>62266</v>
      </c>
      <c r="AP40" s="30">
        <v>2.0972750850483344</v>
      </c>
      <c r="AQ40" s="83"/>
      <c r="AR40" s="763">
        <v>-23702</v>
      </c>
      <c r="AS40" s="763">
        <v>-16119</v>
      </c>
      <c r="AT40" s="763">
        <v>142472</v>
      </c>
      <c r="AU40" s="763">
        <v>51641</v>
      </c>
      <c r="AV40" s="763">
        <v>-47199</v>
      </c>
      <c r="AW40" s="161">
        <v>51531</v>
      </c>
      <c r="AX40" s="161">
        <v>138197</v>
      </c>
      <c r="AY40" s="43">
        <v>117397</v>
      </c>
      <c r="AZ40" s="43">
        <v>72756</v>
      </c>
      <c r="BA40" s="43">
        <v>62557</v>
      </c>
      <c r="BB40" s="761"/>
    </row>
    <row r="41" spans="1:54" ht="9" customHeight="1">
      <c r="A41" s="8"/>
      <c r="B41" s="7"/>
      <c r="C41" s="174"/>
      <c r="D41" s="30"/>
      <c r="E41" s="592"/>
      <c r="F41" s="465"/>
      <c r="G41" s="465"/>
      <c r="H41" s="621"/>
      <c r="I41" s="424"/>
      <c r="J41" s="465"/>
      <c r="K41" s="465"/>
      <c r="L41" s="621"/>
      <c r="M41" s="855"/>
      <c r="N41" s="621"/>
      <c r="O41" s="621"/>
      <c r="P41" s="621"/>
      <c r="Q41" s="855"/>
      <c r="R41" s="621"/>
      <c r="S41" s="621"/>
      <c r="T41" s="621"/>
      <c r="U41" s="855"/>
      <c r="V41" s="621"/>
      <c r="W41" s="621"/>
      <c r="X41" s="621"/>
      <c r="Y41" s="855"/>
      <c r="Z41" s="621"/>
      <c r="AA41" s="621"/>
      <c r="AB41" s="621"/>
      <c r="AC41" s="855"/>
      <c r="AD41" s="741"/>
      <c r="AE41" s="741"/>
      <c r="AF41" s="741"/>
      <c r="AG41" s="855"/>
      <c r="AH41" s="662"/>
      <c r="AI41" s="855"/>
      <c r="AJ41" s="855"/>
      <c r="AK41" s="855"/>
      <c r="AL41" s="662"/>
      <c r="AM41" s="621"/>
      <c r="AN41" s="621"/>
      <c r="AO41" s="610"/>
      <c r="AP41" s="553"/>
      <c r="AQ41" s="83"/>
      <c r="AR41" s="662"/>
      <c r="AS41" s="662"/>
      <c r="AT41" s="662"/>
      <c r="AU41" s="662"/>
      <c r="AV41" s="662"/>
      <c r="AW41" s="179"/>
      <c r="AX41" s="161"/>
      <c r="AY41" s="43"/>
      <c r="AZ41" s="43"/>
      <c r="BA41" s="43"/>
      <c r="BB41" s="25"/>
    </row>
    <row r="42" spans="1:54" ht="12.75" customHeight="1">
      <c r="A42" s="83"/>
      <c r="B42" s="83" t="s">
        <v>6</v>
      </c>
      <c r="C42" s="174">
        <v>3229</v>
      </c>
      <c r="D42" s="30">
        <v>1.1302065103255163</v>
      </c>
      <c r="E42" s="592"/>
      <c r="F42" s="465"/>
      <c r="G42" s="465">
        <v>6086</v>
      </c>
      <c r="H42" s="621">
        <v>-876</v>
      </c>
      <c r="I42" s="443">
        <v>1230</v>
      </c>
      <c r="J42" s="621">
        <v>-437</v>
      </c>
      <c r="K42" s="465">
        <v>2857</v>
      </c>
      <c r="L42" s="621">
        <v>-3470</v>
      </c>
      <c r="M42" s="762">
        <v>-3877</v>
      </c>
      <c r="N42" s="621">
        <v>1755</v>
      </c>
      <c r="O42" s="621">
        <v>2536</v>
      </c>
      <c r="P42" s="621">
        <v>-1618</v>
      </c>
      <c r="Q42" s="762">
        <v>2554</v>
      </c>
      <c r="R42" s="621">
        <v>16993</v>
      </c>
      <c r="S42" s="621">
        <v>18919</v>
      </c>
      <c r="T42" s="621">
        <v>4358</v>
      </c>
      <c r="U42" s="762">
        <v>2459</v>
      </c>
      <c r="V42" s="621">
        <v>-2051</v>
      </c>
      <c r="W42" s="621">
        <v>7197</v>
      </c>
      <c r="X42" s="621">
        <v>1115</v>
      </c>
      <c r="Y42" s="762">
        <v>6883</v>
      </c>
      <c r="Z42" s="621">
        <v>3019</v>
      </c>
      <c r="AA42" s="621">
        <v>-10059</v>
      </c>
      <c r="AB42" s="621">
        <v>422</v>
      </c>
      <c r="AC42" s="855">
        <v>7070</v>
      </c>
      <c r="AD42" s="741">
        <v>-15404</v>
      </c>
      <c r="AE42" s="741">
        <v>9263</v>
      </c>
      <c r="AF42" s="741">
        <v>6717</v>
      </c>
      <c r="AG42" s="855">
        <v>19621</v>
      </c>
      <c r="AH42" s="662">
        <v>14120</v>
      </c>
      <c r="AI42" s="855">
        <v>9944</v>
      </c>
      <c r="AJ42" s="855">
        <v>7444</v>
      </c>
      <c r="AK42" s="855">
        <v>13233</v>
      </c>
      <c r="AL42" s="662"/>
      <c r="AM42" s="610">
        <v>6440</v>
      </c>
      <c r="AN42" s="610">
        <v>-4490</v>
      </c>
      <c r="AO42" s="610">
        <v>10930</v>
      </c>
      <c r="AP42" s="30">
        <v>2.4342984409799553</v>
      </c>
      <c r="AQ42" s="83"/>
      <c r="AR42" s="763">
        <v>-4927</v>
      </c>
      <c r="AS42" s="763">
        <v>5227</v>
      </c>
      <c r="AT42" s="763">
        <v>42729</v>
      </c>
      <c r="AU42" s="662">
        <v>13144</v>
      </c>
      <c r="AV42" s="662">
        <v>452</v>
      </c>
      <c r="AW42" s="179">
        <v>20197</v>
      </c>
      <c r="AX42" s="161">
        <v>44741</v>
      </c>
      <c r="AY42" s="43">
        <v>37880</v>
      </c>
      <c r="AZ42" s="43">
        <v>24177</v>
      </c>
      <c r="BA42" s="43">
        <v>22128</v>
      </c>
      <c r="BB42" s="25"/>
    </row>
    <row r="43" spans="1:54" ht="9" customHeight="1">
      <c r="A43" s="83"/>
      <c r="B43" s="83"/>
      <c r="C43" s="174"/>
      <c r="D43" s="30"/>
      <c r="E43" s="592"/>
      <c r="F43" s="465"/>
      <c r="G43" s="465"/>
      <c r="H43" s="465"/>
      <c r="I43" s="216"/>
      <c r="J43" s="465"/>
      <c r="K43" s="465"/>
      <c r="L43" s="621"/>
      <c r="M43" s="762"/>
      <c r="N43" s="859"/>
      <c r="O43" s="621"/>
      <c r="P43" s="621"/>
      <c r="Q43" s="762"/>
      <c r="R43" s="859"/>
      <c r="S43" s="621"/>
      <c r="T43" s="621"/>
      <c r="U43" s="762"/>
      <c r="V43" s="859"/>
      <c r="W43" s="621"/>
      <c r="X43" s="621"/>
      <c r="Y43" s="762"/>
      <c r="Z43" s="621"/>
      <c r="AA43" s="621"/>
      <c r="AB43" s="621"/>
      <c r="AC43" s="762"/>
      <c r="AD43" s="741"/>
      <c r="AE43" s="741"/>
      <c r="AF43" s="741"/>
      <c r="AG43" s="855"/>
      <c r="AH43" s="1326"/>
      <c r="AI43" s="1327"/>
      <c r="AJ43" s="855"/>
      <c r="AK43" s="855"/>
      <c r="AL43" s="662"/>
      <c r="AM43" s="859"/>
      <c r="AN43" s="621"/>
      <c r="AO43" s="610"/>
      <c r="AP43" s="553"/>
      <c r="AQ43" s="83"/>
      <c r="AR43" s="763"/>
      <c r="AS43" s="763"/>
      <c r="AT43" s="763"/>
      <c r="AU43" s="763"/>
      <c r="AV43" s="763"/>
      <c r="AW43" s="161"/>
      <c r="AX43" s="161"/>
      <c r="AY43" s="160"/>
      <c r="AZ43" s="160"/>
      <c r="BA43" s="160"/>
      <c r="BB43" s="25"/>
    </row>
    <row r="44" spans="1:54" ht="14.25" customHeight="1" thickBot="1">
      <c r="A44" s="143" t="s">
        <v>83</v>
      </c>
      <c r="B44" s="83"/>
      <c r="C44" s="178">
        <v>8070</v>
      </c>
      <c r="D44" s="170">
        <v>0.7862431800467654</v>
      </c>
      <c r="E44" s="592"/>
      <c r="F44" s="220">
        <v>0</v>
      </c>
      <c r="G44" s="220">
        <v>18334</v>
      </c>
      <c r="H44" s="1325">
        <v>-80</v>
      </c>
      <c r="I44" s="221">
        <v>7883</v>
      </c>
      <c r="J44" s="220">
        <v>6424</v>
      </c>
      <c r="K44" s="220">
        <v>10264</v>
      </c>
      <c r="L44" s="1325">
        <v>-14841</v>
      </c>
      <c r="M44" s="1328">
        <v>-20622</v>
      </c>
      <c r="N44" s="1325">
        <v>-31794</v>
      </c>
      <c r="O44" s="1325">
        <v>2531</v>
      </c>
      <c r="P44" s="1325">
        <v>-5278</v>
      </c>
      <c r="Q44" s="1328">
        <v>13195</v>
      </c>
      <c r="R44" s="1325">
        <v>41323</v>
      </c>
      <c r="S44" s="1325">
        <v>42997</v>
      </c>
      <c r="T44" s="1325">
        <v>10251</v>
      </c>
      <c r="U44" s="1328">
        <v>5172</v>
      </c>
      <c r="V44" s="1325">
        <v>7526</v>
      </c>
      <c r="W44" s="1325">
        <v>15113</v>
      </c>
      <c r="X44" s="1325">
        <v>6746</v>
      </c>
      <c r="Y44" s="1329">
        <v>9112</v>
      </c>
      <c r="Z44" s="1330">
        <v>3666</v>
      </c>
      <c r="AA44" s="1330">
        <v>-62378</v>
      </c>
      <c r="AB44" s="1330">
        <v>-5398</v>
      </c>
      <c r="AC44" s="1329">
        <v>16459</v>
      </c>
      <c r="AD44" s="1331">
        <v>-35154</v>
      </c>
      <c r="AE44" s="1331">
        <v>15048</v>
      </c>
      <c r="AF44" s="1331">
        <v>12411</v>
      </c>
      <c r="AG44" s="1332">
        <v>39029</v>
      </c>
      <c r="AH44" s="1333">
        <v>26016</v>
      </c>
      <c r="AI44" s="1332">
        <v>23692</v>
      </c>
      <c r="AJ44" s="1332">
        <v>17806</v>
      </c>
      <c r="AK44" s="1332">
        <v>25942</v>
      </c>
      <c r="AL44" s="662"/>
      <c r="AM44" s="1325">
        <v>26137</v>
      </c>
      <c r="AN44" s="1325">
        <v>-25199</v>
      </c>
      <c r="AO44" s="583">
        <v>51336</v>
      </c>
      <c r="AP44" s="742">
        <v>2.0372236993531487</v>
      </c>
      <c r="AQ44" s="83"/>
      <c r="AR44" s="1334">
        <v>-18775</v>
      </c>
      <c r="AS44" s="1334">
        <v>-21346</v>
      </c>
      <c r="AT44" s="1334">
        <v>99743</v>
      </c>
      <c r="AU44" s="1334">
        <v>38497</v>
      </c>
      <c r="AV44" s="1334">
        <v>-47651</v>
      </c>
      <c r="AW44" s="171">
        <v>31334</v>
      </c>
      <c r="AX44" s="171">
        <v>93456</v>
      </c>
      <c r="AY44" s="356">
        <v>79517</v>
      </c>
      <c r="AZ44" s="356">
        <v>48579</v>
      </c>
      <c r="BA44" s="356">
        <v>40429</v>
      </c>
      <c r="BB44" s="25"/>
    </row>
    <row r="45" spans="1:54" ht="9" customHeight="1" thickTop="1">
      <c r="A45" s="143"/>
      <c r="B45" s="83"/>
      <c r="C45" s="174"/>
      <c r="D45" s="30"/>
      <c r="E45" s="592"/>
      <c r="F45" s="212"/>
      <c r="G45" s="212"/>
      <c r="H45" s="212"/>
      <c r="I45" s="216"/>
      <c r="J45" s="212"/>
      <c r="K45" s="212"/>
      <c r="L45" s="212"/>
      <c r="M45" s="216"/>
      <c r="N45" s="212"/>
      <c r="O45" s="212"/>
      <c r="P45" s="212"/>
      <c r="Q45" s="216"/>
      <c r="R45" s="212"/>
      <c r="S45" s="212"/>
      <c r="T45" s="212"/>
      <c r="U45" s="216"/>
      <c r="V45" s="212"/>
      <c r="W45" s="212"/>
      <c r="X45" s="212"/>
      <c r="Y45" s="216"/>
      <c r="Z45" s="212"/>
      <c r="AA45" s="212"/>
      <c r="AB45" s="212"/>
      <c r="AC45" s="216"/>
      <c r="AD45" s="213"/>
      <c r="AE45" s="213"/>
      <c r="AF45" s="213"/>
      <c r="AG45" s="168"/>
      <c r="AH45" s="177"/>
      <c r="AI45" s="168"/>
      <c r="AJ45" s="168"/>
      <c r="AK45" s="168"/>
      <c r="AL45" s="89"/>
      <c r="AM45" s="212"/>
      <c r="AN45" s="212"/>
      <c r="AO45" s="213"/>
      <c r="AP45" s="553"/>
      <c r="AQ45" s="83"/>
      <c r="AR45" s="763"/>
      <c r="AS45" s="763"/>
      <c r="AT45" s="763"/>
      <c r="AU45" s="763"/>
      <c r="AV45" s="763"/>
      <c r="AW45" s="161"/>
      <c r="AX45" s="161"/>
      <c r="AY45" s="43"/>
      <c r="AZ45" s="43"/>
      <c r="BA45" s="43"/>
      <c r="BB45" s="25"/>
    </row>
    <row r="46" spans="1:54" ht="14.25" customHeight="1">
      <c r="A46" s="143"/>
      <c r="B46" s="83" t="s">
        <v>471</v>
      </c>
      <c r="C46" s="174">
        <v>1629</v>
      </c>
      <c r="D46" s="30">
        <v>2.6444805194805197</v>
      </c>
      <c r="E46" s="592"/>
      <c r="F46" s="213"/>
      <c r="G46" s="213">
        <v>1013</v>
      </c>
      <c r="H46" s="213">
        <v>303</v>
      </c>
      <c r="I46" s="168">
        <v>-858</v>
      </c>
      <c r="J46" s="213">
        <v>-406</v>
      </c>
      <c r="K46" s="213">
        <v>-616</v>
      </c>
      <c r="L46" s="213">
        <v>-279</v>
      </c>
      <c r="M46" s="168">
        <v>-655</v>
      </c>
      <c r="N46" s="213">
        <v>-544</v>
      </c>
      <c r="O46" s="213">
        <v>-495</v>
      </c>
      <c r="P46" s="213">
        <v>0</v>
      </c>
      <c r="Q46" s="168">
        <v>0</v>
      </c>
      <c r="R46" s="213">
        <v>0</v>
      </c>
      <c r="S46" s="213">
        <v>0</v>
      </c>
      <c r="T46" s="213">
        <v>0</v>
      </c>
      <c r="U46" s="168">
        <v>0</v>
      </c>
      <c r="V46" s="213">
        <v>0</v>
      </c>
      <c r="W46" s="213">
        <v>0</v>
      </c>
      <c r="X46" s="212"/>
      <c r="Y46" s="216"/>
      <c r="Z46" s="212"/>
      <c r="AA46" s="212"/>
      <c r="AB46" s="212"/>
      <c r="AC46" s="216"/>
      <c r="AD46" s="213"/>
      <c r="AE46" s="213"/>
      <c r="AF46" s="213"/>
      <c r="AG46" s="168"/>
      <c r="AH46" s="177"/>
      <c r="AI46" s="168"/>
      <c r="AJ46" s="168"/>
      <c r="AK46" s="168"/>
      <c r="AL46" s="89"/>
      <c r="AM46" s="213">
        <v>458</v>
      </c>
      <c r="AN46" s="213">
        <v>-1550</v>
      </c>
      <c r="AO46" s="213">
        <v>2008</v>
      </c>
      <c r="AP46" s="30">
        <v>1.2954838709677419</v>
      </c>
      <c r="AQ46" s="83"/>
      <c r="AR46" s="763">
        <v>-1956</v>
      </c>
      <c r="AS46" s="763">
        <v>-1039</v>
      </c>
      <c r="AT46" s="763">
        <v>0</v>
      </c>
      <c r="AU46" s="763">
        <v>0</v>
      </c>
      <c r="AV46" s="763">
        <v>0</v>
      </c>
      <c r="AW46" s="744">
        <v>0</v>
      </c>
      <c r="AX46" s="744">
        <v>0</v>
      </c>
      <c r="AY46" s="43"/>
      <c r="AZ46" s="43"/>
      <c r="BA46" s="43"/>
      <c r="BB46" s="25"/>
    </row>
    <row r="47" spans="1:54" ht="9" customHeight="1">
      <c r="A47" s="143"/>
      <c r="B47" s="126"/>
      <c r="C47" s="174"/>
      <c r="D47" s="30"/>
      <c r="E47" s="592"/>
      <c r="F47" s="212"/>
      <c r="G47" s="212"/>
      <c r="H47" s="212"/>
      <c r="I47" s="216"/>
      <c r="J47" s="212"/>
      <c r="K47" s="212"/>
      <c r="L47" s="212"/>
      <c r="M47" s="216"/>
      <c r="N47" s="212"/>
      <c r="O47" s="212"/>
      <c r="P47" s="212"/>
      <c r="Q47" s="216"/>
      <c r="R47" s="212"/>
      <c r="S47" s="212"/>
      <c r="T47" s="212"/>
      <c r="U47" s="216"/>
      <c r="V47" s="212"/>
      <c r="W47" s="212"/>
      <c r="X47" s="212"/>
      <c r="Y47" s="216"/>
      <c r="Z47" s="212"/>
      <c r="AA47" s="212"/>
      <c r="AB47" s="212"/>
      <c r="AC47" s="216"/>
      <c r="AD47" s="213"/>
      <c r="AE47" s="213"/>
      <c r="AF47" s="213"/>
      <c r="AG47" s="168"/>
      <c r="AH47" s="177"/>
      <c r="AI47" s="168"/>
      <c r="AJ47" s="168"/>
      <c r="AK47" s="168"/>
      <c r="AL47" s="89"/>
      <c r="AM47" s="212"/>
      <c r="AN47" s="212"/>
      <c r="AO47" s="213"/>
      <c r="AP47" s="553"/>
      <c r="AQ47" s="83"/>
      <c r="AR47" s="763"/>
      <c r="AS47" s="763"/>
      <c r="AT47" s="763"/>
      <c r="AU47" s="763"/>
      <c r="AV47" s="763"/>
      <c r="AW47" s="161"/>
      <c r="AX47" s="161"/>
      <c r="AY47" s="43"/>
      <c r="AZ47" s="43"/>
      <c r="BA47" s="43"/>
      <c r="BB47" s="25"/>
    </row>
    <row r="48" spans="1:54" ht="14.25" customHeight="1" thickBot="1">
      <c r="A48" s="143" t="s">
        <v>485</v>
      </c>
      <c r="B48" s="83"/>
      <c r="C48" s="178">
        <v>6441</v>
      </c>
      <c r="D48" s="170">
        <v>0.5920036764705883</v>
      </c>
      <c r="E48" s="592"/>
      <c r="F48" s="220">
        <v>0</v>
      </c>
      <c r="G48" s="220">
        <v>17321</v>
      </c>
      <c r="H48" s="1325">
        <v>-383</v>
      </c>
      <c r="I48" s="221">
        <v>8741</v>
      </c>
      <c r="J48" s="220">
        <v>6830</v>
      </c>
      <c r="K48" s="220">
        <v>10880</v>
      </c>
      <c r="L48" s="1325">
        <v>-14562</v>
      </c>
      <c r="M48" s="1328">
        <v>-19967</v>
      </c>
      <c r="N48" s="1325">
        <v>-31250</v>
      </c>
      <c r="O48" s="1325">
        <v>3026</v>
      </c>
      <c r="P48" s="1325">
        <v>-5278</v>
      </c>
      <c r="Q48" s="221">
        <v>13195</v>
      </c>
      <c r="R48" s="220">
        <v>41323</v>
      </c>
      <c r="S48" s="220">
        <v>42997</v>
      </c>
      <c r="T48" s="220">
        <v>10251</v>
      </c>
      <c r="U48" s="221">
        <v>5172</v>
      </c>
      <c r="V48" s="220">
        <v>7526</v>
      </c>
      <c r="W48" s="220">
        <v>15113</v>
      </c>
      <c r="X48" s="220">
        <v>6746</v>
      </c>
      <c r="Y48" s="223"/>
      <c r="Z48" s="222"/>
      <c r="AA48" s="222"/>
      <c r="AB48" s="222"/>
      <c r="AC48" s="223"/>
      <c r="AD48" s="184"/>
      <c r="AE48" s="184"/>
      <c r="AF48" s="184"/>
      <c r="AG48" s="185"/>
      <c r="AH48" s="495"/>
      <c r="AI48" s="185"/>
      <c r="AJ48" s="185"/>
      <c r="AK48" s="185"/>
      <c r="AL48" s="89"/>
      <c r="AM48" s="220">
        <v>25679</v>
      </c>
      <c r="AN48" s="1325">
        <v>-23649</v>
      </c>
      <c r="AO48" s="172">
        <v>49328</v>
      </c>
      <c r="AP48" s="742">
        <v>2.0858387246818046</v>
      </c>
      <c r="AQ48" s="83"/>
      <c r="AR48" s="1334">
        <v>-16819</v>
      </c>
      <c r="AS48" s="1334">
        <v>-20307</v>
      </c>
      <c r="AT48" s="1334">
        <v>99743</v>
      </c>
      <c r="AU48" s="1334">
        <v>38497</v>
      </c>
      <c r="AV48" s="1334">
        <v>-47651</v>
      </c>
      <c r="AW48" s="171">
        <v>31334</v>
      </c>
      <c r="AX48" s="171">
        <v>93456</v>
      </c>
      <c r="AY48" s="356"/>
      <c r="AZ48" s="356"/>
      <c r="BA48" s="356"/>
      <c r="BB48" s="25"/>
    </row>
    <row r="49" spans="1:54" ht="9" customHeight="1" thickTop="1">
      <c r="A49" s="8"/>
      <c r="B49" s="7"/>
      <c r="C49" s="174"/>
      <c r="D49" s="30"/>
      <c r="E49" s="592"/>
      <c r="F49" s="465"/>
      <c r="G49" s="465"/>
      <c r="H49" s="465"/>
      <c r="I49" s="424"/>
      <c r="J49" s="465"/>
      <c r="K49" s="465"/>
      <c r="L49" s="621"/>
      <c r="M49" s="855"/>
      <c r="N49" s="621"/>
      <c r="O49" s="621"/>
      <c r="P49" s="621"/>
      <c r="Q49" s="424"/>
      <c r="R49" s="465"/>
      <c r="S49" s="465"/>
      <c r="T49" s="465"/>
      <c r="U49" s="424"/>
      <c r="V49" s="465"/>
      <c r="W49" s="465"/>
      <c r="X49" s="465"/>
      <c r="Y49" s="424"/>
      <c r="Z49" s="465"/>
      <c r="AA49" s="465"/>
      <c r="AB49" s="465"/>
      <c r="AC49" s="424"/>
      <c r="AD49" s="167"/>
      <c r="AE49" s="167"/>
      <c r="AF49" s="167"/>
      <c r="AG49" s="168"/>
      <c r="AH49" s="177"/>
      <c r="AI49" s="168"/>
      <c r="AJ49" s="168"/>
      <c r="AK49" s="168"/>
      <c r="AL49" s="89"/>
      <c r="AM49" s="465"/>
      <c r="AN49" s="465"/>
      <c r="AO49" s="213"/>
      <c r="AP49" s="553"/>
      <c r="AQ49" s="83"/>
      <c r="AR49" s="662"/>
      <c r="AS49" s="662"/>
      <c r="AT49" s="662"/>
      <c r="AU49" s="662"/>
      <c r="AV49" s="662"/>
      <c r="AW49" s="179"/>
      <c r="AX49" s="161"/>
      <c r="AY49" s="43"/>
      <c r="AZ49" s="43"/>
      <c r="BA49" s="43"/>
      <c r="BB49" s="25"/>
    </row>
    <row r="50" spans="1:54" ht="12.75" customHeight="1">
      <c r="A50" s="83"/>
      <c r="B50" s="83" t="s">
        <v>346</v>
      </c>
      <c r="C50" s="174">
        <v>77</v>
      </c>
      <c r="D50" s="30">
        <v>0.0256837891927952</v>
      </c>
      <c r="E50" s="592"/>
      <c r="F50" s="213"/>
      <c r="G50" s="213">
        <v>-2921</v>
      </c>
      <c r="H50" s="213">
        <v>-2921</v>
      </c>
      <c r="I50" s="168">
        <v>-2960</v>
      </c>
      <c r="J50" s="213">
        <v>-2887</v>
      </c>
      <c r="K50" s="213">
        <v>-2998</v>
      </c>
      <c r="L50" s="610">
        <v>-2998</v>
      </c>
      <c r="M50" s="855">
        <v>-2837</v>
      </c>
      <c r="N50" s="610">
        <v>-1107</v>
      </c>
      <c r="O50" s="610">
        <v>-1818</v>
      </c>
      <c r="P50" s="610">
        <v>-1800</v>
      </c>
      <c r="Q50" s="168">
        <v>-90</v>
      </c>
      <c r="R50" s="213">
        <v>0</v>
      </c>
      <c r="S50" s="213">
        <v>0</v>
      </c>
      <c r="T50" s="213">
        <v>0</v>
      </c>
      <c r="U50" s="168">
        <v>0</v>
      </c>
      <c r="V50" s="213">
        <v>0</v>
      </c>
      <c r="W50" s="213">
        <v>0</v>
      </c>
      <c r="X50" s="213">
        <v>0</v>
      </c>
      <c r="Y50" s="443"/>
      <c r="Z50" s="465"/>
      <c r="AA50" s="465"/>
      <c r="AB50" s="465"/>
      <c r="AC50" s="424"/>
      <c r="AD50" s="167"/>
      <c r="AE50" s="167"/>
      <c r="AF50" s="167"/>
      <c r="AG50" s="168"/>
      <c r="AH50" s="177"/>
      <c r="AI50" s="168"/>
      <c r="AJ50" s="168"/>
      <c r="AK50" s="168"/>
      <c r="AL50" s="89"/>
      <c r="AM50" s="610">
        <v>-8802</v>
      </c>
      <c r="AN50" s="610">
        <v>-8833</v>
      </c>
      <c r="AO50" s="213">
        <v>31</v>
      </c>
      <c r="AP50" s="30">
        <v>0.0035095663987320274</v>
      </c>
      <c r="AQ50" s="83"/>
      <c r="AR50" s="662">
        <v>-11720</v>
      </c>
      <c r="AS50" s="662">
        <v>-4815</v>
      </c>
      <c r="AT50" s="662">
        <v>0</v>
      </c>
      <c r="AU50" s="662">
        <v>0</v>
      </c>
      <c r="AV50" s="662">
        <v>0</v>
      </c>
      <c r="AW50" s="177">
        <v>0</v>
      </c>
      <c r="AX50" s="177">
        <v>0</v>
      </c>
      <c r="AY50" s="43"/>
      <c r="AZ50" s="43"/>
      <c r="BA50" s="43"/>
      <c r="BB50" s="25"/>
    </row>
    <row r="51" spans="1:54" ht="9" customHeight="1">
      <c r="A51" s="83"/>
      <c r="B51" s="83"/>
      <c r="C51" s="174"/>
      <c r="D51" s="30"/>
      <c r="E51" s="592"/>
      <c r="F51" s="465"/>
      <c r="G51" s="465"/>
      <c r="H51" s="465"/>
      <c r="I51" s="216"/>
      <c r="J51" s="465"/>
      <c r="K51" s="465"/>
      <c r="L51" s="621"/>
      <c r="M51" s="762"/>
      <c r="N51" s="859"/>
      <c r="O51" s="621"/>
      <c r="P51" s="621"/>
      <c r="Q51" s="216"/>
      <c r="R51" s="475"/>
      <c r="S51" s="465"/>
      <c r="T51" s="465"/>
      <c r="U51" s="216"/>
      <c r="V51" s="475"/>
      <c r="W51" s="465"/>
      <c r="X51" s="465"/>
      <c r="Y51" s="216"/>
      <c r="Z51" s="465"/>
      <c r="AA51" s="465"/>
      <c r="AB51" s="465"/>
      <c r="AC51" s="216"/>
      <c r="AD51" s="167"/>
      <c r="AE51" s="167"/>
      <c r="AF51" s="167"/>
      <c r="AG51" s="168"/>
      <c r="AH51" s="494"/>
      <c r="AI51" s="470"/>
      <c r="AJ51" s="168"/>
      <c r="AK51" s="168"/>
      <c r="AL51" s="89"/>
      <c r="AM51" s="475"/>
      <c r="AN51" s="465"/>
      <c r="AO51" s="213"/>
      <c r="AP51" s="395"/>
      <c r="AQ51" s="83"/>
      <c r="AR51" s="763"/>
      <c r="AS51" s="763"/>
      <c r="AT51" s="763"/>
      <c r="AU51" s="763"/>
      <c r="AV51" s="763"/>
      <c r="AW51" s="161"/>
      <c r="AX51" s="161"/>
      <c r="AY51" s="160"/>
      <c r="AZ51" s="160"/>
      <c r="BA51" s="160"/>
      <c r="BB51" s="25"/>
    </row>
    <row r="52" spans="1:54" ht="12.75" customHeight="1" thickBot="1">
      <c r="A52" s="143" t="s">
        <v>319</v>
      </c>
      <c r="B52" s="83"/>
      <c r="C52" s="181">
        <v>6518</v>
      </c>
      <c r="D52" s="182">
        <v>0.8269474752600863</v>
      </c>
      <c r="E52" s="592"/>
      <c r="F52" s="222">
        <v>0</v>
      </c>
      <c r="G52" s="222">
        <v>14400</v>
      </c>
      <c r="H52" s="1330">
        <v>-3304</v>
      </c>
      <c r="I52" s="223">
        <v>5781</v>
      </c>
      <c r="J52" s="222">
        <v>3943</v>
      </c>
      <c r="K52" s="222">
        <v>7882</v>
      </c>
      <c r="L52" s="1330">
        <v>-17560</v>
      </c>
      <c r="M52" s="1329">
        <v>-22804</v>
      </c>
      <c r="N52" s="1330">
        <v>-32357</v>
      </c>
      <c r="O52" s="1330">
        <v>1208</v>
      </c>
      <c r="P52" s="1330">
        <v>-7078</v>
      </c>
      <c r="Q52" s="223">
        <v>13105</v>
      </c>
      <c r="R52" s="222">
        <v>41323</v>
      </c>
      <c r="S52" s="222">
        <v>42997</v>
      </c>
      <c r="T52" s="222">
        <v>10251</v>
      </c>
      <c r="U52" s="223">
        <v>5172</v>
      </c>
      <c r="V52" s="222">
        <v>7526</v>
      </c>
      <c r="W52" s="222">
        <v>15113</v>
      </c>
      <c r="X52" s="222">
        <v>6746</v>
      </c>
      <c r="Y52" s="223"/>
      <c r="Z52" s="222"/>
      <c r="AA52" s="222"/>
      <c r="AB52" s="222"/>
      <c r="AC52" s="223"/>
      <c r="AD52" s="184"/>
      <c r="AE52" s="184"/>
      <c r="AF52" s="184"/>
      <c r="AG52" s="185"/>
      <c r="AH52" s="495"/>
      <c r="AI52" s="185"/>
      <c r="AJ52" s="185"/>
      <c r="AK52" s="185"/>
      <c r="AL52" s="89"/>
      <c r="AM52" s="222">
        <v>16877</v>
      </c>
      <c r="AN52" s="1330">
        <v>-32482</v>
      </c>
      <c r="AO52" s="184">
        <v>49359</v>
      </c>
      <c r="AP52" s="577">
        <v>1.519580075118527</v>
      </c>
      <c r="AQ52" s="83"/>
      <c r="AR52" s="1335">
        <v>-28539</v>
      </c>
      <c r="AS52" s="1335">
        <v>-25122</v>
      </c>
      <c r="AT52" s="1335">
        <v>99743</v>
      </c>
      <c r="AU52" s="1335">
        <v>38497</v>
      </c>
      <c r="AV52" s="1335">
        <v>-47651</v>
      </c>
      <c r="AW52" s="183">
        <v>31334</v>
      </c>
      <c r="AX52" s="183">
        <v>93456</v>
      </c>
      <c r="AY52" s="356"/>
      <c r="AZ52" s="356"/>
      <c r="BA52" s="356"/>
      <c r="BB52" s="25"/>
    </row>
    <row r="53" spans="1:53" ht="12.75" customHeight="1" thickTop="1">
      <c r="A53" s="144"/>
      <c r="B53" s="144"/>
      <c r="C53" s="31"/>
      <c r="D53" s="41"/>
      <c r="E53" s="41"/>
      <c r="F53" s="41"/>
      <c r="G53" s="41"/>
      <c r="H53" s="41"/>
      <c r="I53" s="148"/>
      <c r="J53" s="41"/>
      <c r="K53" s="41"/>
      <c r="L53" s="41"/>
      <c r="M53" s="148"/>
      <c r="N53" s="41"/>
      <c r="O53" s="41"/>
      <c r="P53" s="41"/>
      <c r="Q53" s="148"/>
      <c r="R53" s="41"/>
      <c r="S53" s="41"/>
      <c r="T53" s="41"/>
      <c r="U53" s="148"/>
      <c r="V53" s="41"/>
      <c r="W53" s="41"/>
      <c r="X53" s="41"/>
      <c r="Y53" s="148"/>
      <c r="Z53" s="41"/>
      <c r="AA53" s="41"/>
      <c r="AB53" s="41"/>
      <c r="AC53" s="148"/>
      <c r="AD53" s="186"/>
      <c r="AE53" s="186"/>
      <c r="AF53" s="186"/>
      <c r="AG53" s="186"/>
      <c r="AH53" s="186"/>
      <c r="AI53" s="186"/>
      <c r="AJ53" s="186"/>
      <c r="AK53" s="186"/>
      <c r="AL53" s="148"/>
      <c r="AM53" s="148"/>
      <c r="AN53" s="148"/>
      <c r="AO53" s="31"/>
      <c r="AP53" s="41"/>
      <c r="AQ53" s="148"/>
      <c r="AR53" s="148"/>
      <c r="AS53" s="148"/>
      <c r="AT53" s="148"/>
      <c r="AU53" s="148"/>
      <c r="AV53" s="148"/>
      <c r="AW53" s="31"/>
      <c r="AX53" s="31"/>
      <c r="AY53" s="357"/>
      <c r="AZ53" s="357"/>
      <c r="BA53" s="357"/>
    </row>
    <row r="54" spans="1:53" ht="12.75" customHeight="1">
      <c r="A54" s="7" t="s">
        <v>401</v>
      </c>
      <c r="B54" s="144"/>
      <c r="C54" s="162">
        <v>0.2773365541800521</v>
      </c>
      <c r="D54" s="41"/>
      <c r="E54" s="41"/>
      <c r="F54" s="442" t="e">
        <v>#DIV/0!</v>
      </c>
      <c r="G54" s="442">
        <v>0.4540979134824796</v>
      </c>
      <c r="H54" s="442">
        <v>0.4329481850021276</v>
      </c>
      <c r="I54" s="442">
        <v>0.41139554881403184</v>
      </c>
      <c r="J54" s="442">
        <v>0.47537975235237717</v>
      </c>
      <c r="K54" s="442">
        <v>0.45132454794067906</v>
      </c>
      <c r="L54" s="442">
        <v>0.44342145456299337</v>
      </c>
      <c r="M54" s="442">
        <v>0.44703443269414145</v>
      </c>
      <c r="N54" s="442">
        <v>0.4978445850122684</v>
      </c>
      <c r="O54" s="442">
        <v>0.42586669732028753</v>
      </c>
      <c r="P54" s="442">
        <v>0.4530376569037657</v>
      </c>
      <c r="Q54" s="442">
        <v>0.48441323545057985</v>
      </c>
      <c r="R54" s="442">
        <v>0.49242916860195074</v>
      </c>
      <c r="S54" s="442">
        <v>0.4809993956850342</v>
      </c>
      <c r="T54" s="442">
        <v>0.4408681381250628</v>
      </c>
      <c r="U54" s="148"/>
      <c r="V54" s="41"/>
      <c r="W54" s="41"/>
      <c r="X54" s="41"/>
      <c r="Y54" s="148"/>
      <c r="Z54" s="41"/>
      <c r="AA54" s="41"/>
      <c r="AB54" s="41"/>
      <c r="AC54" s="148"/>
      <c r="AD54" s="186"/>
      <c r="AE54" s="186"/>
      <c r="AF54" s="186"/>
      <c r="AG54" s="186"/>
      <c r="AH54" s="186"/>
      <c r="AI54" s="186"/>
      <c r="AJ54" s="186"/>
      <c r="AK54" s="186"/>
      <c r="AL54" s="148"/>
      <c r="AM54" s="442">
        <v>0.4343603282482344</v>
      </c>
      <c r="AN54" s="442">
        <v>0.4475706680986479</v>
      </c>
      <c r="AO54" s="162">
        <v>-1.3210339850413477</v>
      </c>
      <c r="AP54" s="41"/>
      <c r="AQ54" s="148"/>
      <c r="AR54" s="442">
        <v>0.45517499203384176</v>
      </c>
      <c r="AS54" s="442">
        <v>0.4678456644799492</v>
      </c>
      <c r="AT54" s="442">
        <v>0.4732408281910479</v>
      </c>
      <c r="AU54" s="442">
        <v>0.4870527775709608</v>
      </c>
      <c r="AV54" s="442">
        <v>0.4491115106934801</v>
      </c>
      <c r="AW54" s="442">
        <v>0.46196033294192107</v>
      </c>
      <c r="AX54" s="31"/>
      <c r="AY54" s="357"/>
      <c r="AZ54" s="357"/>
      <c r="BA54" s="357"/>
    </row>
    <row r="55" spans="1:53" ht="12.75" customHeight="1">
      <c r="A55" s="7" t="s">
        <v>402</v>
      </c>
      <c r="B55" s="144"/>
      <c r="C55" s="162">
        <v>-0.16234070375864204</v>
      </c>
      <c r="D55" s="41"/>
      <c r="E55" s="41"/>
      <c r="F55" s="442" t="e">
        <v>#DIV/0!</v>
      </c>
      <c r="G55" s="442">
        <v>0.04329339839538619</v>
      </c>
      <c r="H55" s="442">
        <v>0.04445571885262894</v>
      </c>
      <c r="I55" s="442">
        <v>0.04966592070757513</v>
      </c>
      <c r="J55" s="442">
        <v>0.044400401888324594</v>
      </c>
      <c r="K55" s="442">
        <v>0.04491680543297261</v>
      </c>
      <c r="L55" s="442">
        <v>0.06308715480790358</v>
      </c>
      <c r="M55" s="442">
        <v>0.07450676411420556</v>
      </c>
      <c r="N55" s="442">
        <v>0.04039574094500597</v>
      </c>
      <c r="O55" s="442">
        <v>0.04621033342574499</v>
      </c>
      <c r="P55" s="442">
        <v>0.06443514644351464</v>
      </c>
      <c r="Q55" s="442">
        <v>0.0013330579598580575</v>
      </c>
      <c r="R55" s="35">
        <v>-0.01025868858417981</v>
      </c>
      <c r="S55" s="442">
        <v>0.015951560623778616</v>
      </c>
      <c r="T55" s="442">
        <v>0.03163747194962655</v>
      </c>
      <c r="U55" s="148"/>
      <c r="V55" s="41"/>
      <c r="W55" s="41"/>
      <c r="X55" s="41"/>
      <c r="Y55" s="148"/>
      <c r="Z55" s="41"/>
      <c r="AA55" s="41"/>
      <c r="AB55" s="41"/>
      <c r="AC55" s="148"/>
      <c r="AD55" s="186"/>
      <c r="AE55" s="186"/>
      <c r="AF55" s="186"/>
      <c r="AG55" s="186"/>
      <c r="AH55" s="186"/>
      <c r="AI55" s="186"/>
      <c r="AJ55" s="186"/>
      <c r="AK55" s="186"/>
      <c r="AL55" s="148"/>
      <c r="AM55" s="442">
        <v>0.04563122614281724</v>
      </c>
      <c r="AN55" s="442">
        <v>0.05907958373550248</v>
      </c>
      <c r="AO55" s="162">
        <v>-1.3448357592685243</v>
      </c>
      <c r="AP55" s="41"/>
      <c r="AQ55" s="148"/>
      <c r="AR55" s="442">
        <v>0.05506559849056983</v>
      </c>
      <c r="AS55" s="442">
        <v>0.0362478176912496</v>
      </c>
      <c r="AT55" s="442">
        <v>0.010869416436150423</v>
      </c>
      <c r="AU55" s="442">
        <v>0.030808415737866145</v>
      </c>
      <c r="AV55" s="442">
        <v>0.01560743613950402</v>
      </c>
      <c r="AW55" s="442">
        <v>0.012490106474159272</v>
      </c>
      <c r="AX55" s="31"/>
      <c r="AY55" s="357"/>
      <c r="AZ55" s="357"/>
      <c r="BA55" s="357"/>
    </row>
    <row r="56" spans="1:53" ht="12.75" customHeight="1">
      <c r="A56" s="145" t="s">
        <v>84</v>
      </c>
      <c r="B56" s="146"/>
      <c r="C56" s="162">
        <v>0.07913118778657977</v>
      </c>
      <c r="D56" s="41"/>
      <c r="E56" s="41"/>
      <c r="F56" s="442" t="e">
        <v>#DIV/0!</v>
      </c>
      <c r="G56" s="442">
        <v>0.4973913118778658</v>
      </c>
      <c r="H56" s="442">
        <v>0.4774039038547565</v>
      </c>
      <c r="I56" s="442">
        <v>0.461061469521607</v>
      </c>
      <c r="J56" s="442">
        <v>0.5197801542407018</v>
      </c>
      <c r="K56" s="442">
        <v>0.4956</v>
      </c>
      <c r="L56" s="442">
        <v>0.5065086093708969</v>
      </c>
      <c r="M56" s="442">
        <v>0.521941196808347</v>
      </c>
      <c r="N56" s="442">
        <v>0.5382403259572743</v>
      </c>
      <c r="O56" s="442">
        <v>0.4720770307460325</v>
      </c>
      <c r="P56" s="442">
        <v>0.5174728033472803</v>
      </c>
      <c r="Q56" s="442">
        <v>0.4857462934104379</v>
      </c>
      <c r="R56" s="442">
        <v>0.48217048001777096</v>
      </c>
      <c r="S56" s="442">
        <v>0.4969509563088128</v>
      </c>
      <c r="T56" s="442">
        <v>0.47250561007468933</v>
      </c>
      <c r="U56" s="442">
        <v>0.47713554111784723</v>
      </c>
      <c r="V56" s="442">
        <v>0.5084990882605689</v>
      </c>
      <c r="W56" s="442">
        <v>0.5419955311004232</v>
      </c>
      <c r="X56" s="442">
        <v>0.516922032583398</v>
      </c>
      <c r="Y56" s="442">
        <v>0.49804674712468083</v>
      </c>
      <c r="Z56" s="442">
        <v>0.42060450857976</v>
      </c>
      <c r="AA56" s="442">
        <v>0.49661650685874204</v>
      </c>
      <c r="AB56" s="442">
        <v>0.45996084057421793</v>
      </c>
      <c r="AC56" s="187">
        <v>0.47899923570419434</v>
      </c>
      <c r="AD56" s="187">
        <v>0.443</v>
      </c>
      <c r="AE56" s="187">
        <v>0.495</v>
      </c>
      <c r="AF56" s="187">
        <v>0.45</v>
      </c>
      <c r="AG56" s="187">
        <v>0.494</v>
      </c>
      <c r="AH56" s="187">
        <v>0.524</v>
      </c>
      <c r="AI56" s="187">
        <v>0.502</v>
      </c>
      <c r="AJ56" s="187">
        <v>0.481</v>
      </c>
      <c r="AK56" s="187">
        <v>0.509</v>
      </c>
      <c r="AL56" s="148"/>
      <c r="AM56" s="442">
        <v>0.4799915543910516</v>
      </c>
      <c r="AN56" s="442">
        <v>0.5066502518341504</v>
      </c>
      <c r="AO56" s="162">
        <v>-2.765869744309873</v>
      </c>
      <c r="AP56" s="41"/>
      <c r="AQ56" s="148"/>
      <c r="AR56" s="442">
        <v>0.5102405905244116</v>
      </c>
      <c r="AS56" s="442">
        <v>0.5040934821711989</v>
      </c>
      <c r="AT56" s="442">
        <v>0.4841102446271983</v>
      </c>
      <c r="AU56" s="35">
        <v>0.517861193308827</v>
      </c>
      <c r="AV56" s="35">
        <v>0.4647189468329841</v>
      </c>
      <c r="AW56" s="35">
        <v>0.474</v>
      </c>
      <c r="AX56" s="188">
        <v>0.506</v>
      </c>
      <c r="AY56" s="358">
        <v>0.513</v>
      </c>
      <c r="AZ56" s="358">
        <v>0.509</v>
      </c>
      <c r="BA56" s="358">
        <v>0.544</v>
      </c>
    </row>
    <row r="57" spans="1:53" ht="12.75" customHeight="1">
      <c r="A57" s="145" t="s">
        <v>259</v>
      </c>
      <c r="B57" s="146"/>
      <c r="C57" s="162">
        <v>0.2430934139075524</v>
      </c>
      <c r="D57" s="621"/>
      <c r="E57" s="41"/>
      <c r="F57" s="442" t="e">
        <v>#DIV/0!</v>
      </c>
      <c r="G57" s="442">
        <v>0.5898319615169793</v>
      </c>
      <c r="H57" s="442">
        <v>0.5947268501849367</v>
      </c>
      <c r="I57" s="442">
        <v>0.5844918843567571</v>
      </c>
      <c r="J57" s="442">
        <v>0.6244959191819095</v>
      </c>
      <c r="K57" s="442">
        <v>0.5879010273779037</v>
      </c>
      <c r="L57" s="442">
        <v>0.6222841440736553</v>
      </c>
      <c r="M57" s="442">
        <v>0.6652550861586353</v>
      </c>
      <c r="N57" s="442">
        <v>0.6374850865542624</v>
      </c>
      <c r="O57" s="442">
        <v>0.5735653091169729</v>
      </c>
      <c r="P57" s="442">
        <v>0.6359916317991632</v>
      </c>
      <c r="Q57" s="442">
        <v>0.5918728337808152</v>
      </c>
      <c r="R57" s="442">
        <v>0.5530240917627577</v>
      </c>
      <c r="S57" s="442">
        <v>0.5547886074856573</v>
      </c>
      <c r="T57" s="442">
        <v>0.5818401044981076</v>
      </c>
      <c r="U57" s="442">
        <v>0.5812450219527768</v>
      </c>
      <c r="V57" s="442">
        <v>0.6250689917768788</v>
      </c>
      <c r="W57" s="442">
        <v>0.6282845545823542</v>
      </c>
      <c r="X57" s="442">
        <v>0.6299214507370055</v>
      </c>
      <c r="Y57" s="442">
        <v>0.5984519470693932</v>
      </c>
      <c r="Z57" s="442">
        <v>0.5544039029496429</v>
      </c>
      <c r="AA57" s="442">
        <v>0.6436206817451943</v>
      </c>
      <c r="AB57" s="442">
        <v>0.5880410361908887</v>
      </c>
      <c r="AC57" s="187">
        <v>0.5684160548440141</v>
      </c>
      <c r="AD57" s="187">
        <v>0.545</v>
      </c>
      <c r="AE57" s="187">
        <v>0.564</v>
      </c>
      <c r="AF57" s="187">
        <v>0.529</v>
      </c>
      <c r="AG57" s="187">
        <v>0.552</v>
      </c>
      <c r="AH57" s="187">
        <v>0.584</v>
      </c>
      <c r="AI57" s="187">
        <v>0.567</v>
      </c>
      <c r="AJ57" s="187">
        <v>0.549</v>
      </c>
      <c r="AK57" s="187">
        <v>0.57</v>
      </c>
      <c r="AL57" s="148"/>
      <c r="AM57" s="442">
        <v>0.5896614441326293</v>
      </c>
      <c r="AN57" s="442">
        <v>0.6200869894034544</v>
      </c>
      <c r="AO57" s="162">
        <v>-2.9925545270825085</v>
      </c>
      <c r="AP57" s="41"/>
      <c r="AQ57" s="148"/>
      <c r="AR57" s="442">
        <v>0.6212926001289639</v>
      </c>
      <c r="AS57" s="442">
        <v>0.6097767432017775</v>
      </c>
      <c r="AT57" s="442">
        <v>0.5642714131236849</v>
      </c>
      <c r="AU57" s="35">
        <v>0.621</v>
      </c>
      <c r="AV57" s="35">
        <v>0.5835560923635343</v>
      </c>
      <c r="AW57" s="35">
        <v>0.549</v>
      </c>
      <c r="AX57" s="188">
        <v>0.569</v>
      </c>
      <c r="AY57" s="358">
        <v>0.585</v>
      </c>
      <c r="AZ57" s="358">
        <v>0.615</v>
      </c>
      <c r="BA57" s="358">
        <v>0.636</v>
      </c>
    </row>
    <row r="58" spans="1:53" ht="12.75" customHeight="1">
      <c r="A58" s="145" t="s">
        <v>85</v>
      </c>
      <c r="B58" s="146"/>
      <c r="C58" s="162">
        <v>-5.061690433124455</v>
      </c>
      <c r="D58" s="41"/>
      <c r="E58" s="41"/>
      <c r="F58" s="442" t="e">
        <v>#DIV/0!</v>
      </c>
      <c r="G58" s="442">
        <v>0.30443498629626903</v>
      </c>
      <c r="H58" s="442">
        <v>0.4114884728268578</v>
      </c>
      <c r="I58" s="442">
        <v>0.36683562016973686</v>
      </c>
      <c r="J58" s="442">
        <v>0.34903712420459604</v>
      </c>
      <c r="K58" s="442">
        <v>0.3550518906275136</v>
      </c>
      <c r="L58" s="442">
        <v>0.4768460709864469</v>
      </c>
      <c r="M58" s="442">
        <v>0.485562543602237</v>
      </c>
      <c r="N58" s="442">
        <v>0.5315658555252909</v>
      </c>
      <c r="O58" s="442">
        <v>0.39217250775919776</v>
      </c>
      <c r="P58" s="442">
        <v>0.4217154811715481</v>
      </c>
      <c r="Q58" s="442">
        <v>0.3085622375346564</v>
      </c>
      <c r="R58" s="442">
        <v>0.21144611159352975</v>
      </c>
      <c r="S58" s="442">
        <v>0.20224538326910851</v>
      </c>
      <c r="T58" s="442">
        <v>0.32030009712965135</v>
      </c>
      <c r="U58" s="442">
        <v>0.3685236017035618</v>
      </c>
      <c r="V58" s="442">
        <v>0.3366798711687731</v>
      </c>
      <c r="W58" s="442">
        <v>0.24290259069152467</v>
      </c>
      <c r="X58" s="442">
        <v>0.30655223687613137</v>
      </c>
      <c r="Y58" s="442">
        <v>0.2851894691662484</v>
      </c>
      <c r="Z58" s="442">
        <v>0.38311712587386443</v>
      </c>
      <c r="AA58" s="442">
        <v>1.1871931917236318</v>
      </c>
      <c r="AB58" s="442">
        <v>0.4568569598209855</v>
      </c>
      <c r="AC58" s="187">
        <v>0.2963482178011441</v>
      </c>
      <c r="AD58" s="187">
        <v>0.807</v>
      </c>
      <c r="AE58" s="187">
        <v>0.30300000000000005</v>
      </c>
      <c r="AF58" s="187">
        <v>0.351</v>
      </c>
      <c r="AG58" s="187">
        <v>0.20899999999999996</v>
      </c>
      <c r="AH58" s="187">
        <v>0.23099999999999998</v>
      </c>
      <c r="AI58" s="187">
        <v>0.2440000000000001</v>
      </c>
      <c r="AJ58" s="187">
        <v>0.2889999999999999</v>
      </c>
      <c r="AK58" s="187">
        <v>0.24</v>
      </c>
      <c r="AL58" s="148"/>
      <c r="AM58" s="442">
        <v>0.3571785947038717</v>
      </c>
      <c r="AN58" s="442">
        <v>0.4311759800121212</v>
      </c>
      <c r="AO58" s="162">
        <v>-7.399738530824951</v>
      </c>
      <c r="AP58" s="41"/>
      <c r="AQ58" s="148"/>
      <c r="AR58" s="442">
        <v>0.40844186962597945</v>
      </c>
      <c r="AS58" s="442">
        <v>0.41687222251613587</v>
      </c>
      <c r="AT58" s="442">
        <v>0.2584432407410864</v>
      </c>
      <c r="AU58" s="35">
        <v>0.2898463648216478</v>
      </c>
      <c r="AV58" s="35">
        <v>0.5152442534450025</v>
      </c>
      <c r="AW58" s="35">
        <v>0.381</v>
      </c>
      <c r="AX58" s="188">
        <v>0.248</v>
      </c>
      <c r="AY58" s="358">
        <v>0.21100000000000008</v>
      </c>
      <c r="AZ58" s="358">
        <v>0.21699999999999997</v>
      </c>
      <c r="BA58" s="358">
        <v>0.20799999999999996</v>
      </c>
    </row>
    <row r="59" spans="1:53" ht="12.75" customHeight="1">
      <c r="A59" s="145" t="s">
        <v>86</v>
      </c>
      <c r="B59" s="145"/>
      <c r="C59" s="162">
        <v>-4.868597019216914</v>
      </c>
      <c r="D59" s="41"/>
      <c r="E59" s="41"/>
      <c r="F59" s="442" t="e">
        <v>#DIV/0!</v>
      </c>
      <c r="G59" s="442">
        <v>0.8942669478132482</v>
      </c>
      <c r="H59" s="442">
        <v>1.0052153230117944</v>
      </c>
      <c r="I59" s="442">
        <v>0.9513275045264941</v>
      </c>
      <c r="J59" s="442">
        <v>0.9725330433865056</v>
      </c>
      <c r="K59" s="442">
        <v>0.9429529180054174</v>
      </c>
      <c r="L59" s="442">
        <v>1.0981302150601022</v>
      </c>
      <c r="M59" s="442">
        <v>1.15111762976087</v>
      </c>
      <c r="N59" s="442">
        <v>1.1690509420795534</v>
      </c>
      <c r="O59" s="442">
        <v>0.9657378168761707</v>
      </c>
      <c r="P59" s="442">
        <v>1.0577071129707114</v>
      </c>
      <c r="Q59" s="442">
        <v>0.9014350713154716</v>
      </c>
      <c r="R59" s="442">
        <v>0.7644702033562875</v>
      </c>
      <c r="S59" s="442">
        <v>0.7570339907547659</v>
      </c>
      <c r="T59" s="442">
        <v>0.902140201627759</v>
      </c>
      <c r="U59" s="442">
        <v>0.9497686236563386</v>
      </c>
      <c r="V59" s="442">
        <v>0.961748862945652</v>
      </c>
      <c r="W59" s="442">
        <v>0.8711871452738789</v>
      </c>
      <c r="X59" s="442">
        <v>0.9374736876131368</v>
      </c>
      <c r="Y59" s="442">
        <v>0.8826414162356416</v>
      </c>
      <c r="Z59" s="442">
        <v>0.9375210288235074</v>
      </c>
      <c r="AA59" s="442">
        <v>1.830813873468826</v>
      </c>
      <c r="AB59" s="442">
        <v>1.044897996011874</v>
      </c>
      <c r="AC59" s="187">
        <v>0.8637642726451583</v>
      </c>
      <c r="AD59" s="187">
        <v>1.352</v>
      </c>
      <c r="AE59" s="187">
        <v>0.867</v>
      </c>
      <c r="AF59" s="187">
        <v>0.88</v>
      </c>
      <c r="AG59" s="187">
        <v>0.761</v>
      </c>
      <c r="AH59" s="187">
        <v>0.815</v>
      </c>
      <c r="AI59" s="187">
        <v>0.811</v>
      </c>
      <c r="AJ59" s="187">
        <v>0.838</v>
      </c>
      <c r="AK59" s="187">
        <v>0.81</v>
      </c>
      <c r="AL59" s="148"/>
      <c r="AM59" s="442">
        <v>0.945840038836501</v>
      </c>
      <c r="AN59" s="442">
        <v>1.0512629694155755</v>
      </c>
      <c r="AO59" s="162">
        <v>-10.542293057907449</v>
      </c>
      <c r="AP59" s="41"/>
      <c r="AQ59" s="148"/>
      <c r="AR59" s="442">
        <v>1.0297344697549433</v>
      </c>
      <c r="AS59" s="442">
        <v>1.0266489657179134</v>
      </c>
      <c r="AT59" s="442">
        <v>0.8227146538647713</v>
      </c>
      <c r="AU59" s="35">
        <v>0.9108463648216478</v>
      </c>
      <c r="AV59" s="35">
        <v>1.0988003458085367</v>
      </c>
      <c r="AW59" s="35">
        <v>0.93</v>
      </c>
      <c r="AX59" s="188">
        <v>0.817</v>
      </c>
      <c r="AY59" s="358">
        <v>0.796</v>
      </c>
      <c r="AZ59" s="358">
        <v>0.832</v>
      </c>
      <c r="BA59" s="358">
        <v>0.844</v>
      </c>
    </row>
    <row r="60" spans="1:53" ht="12.75" customHeight="1">
      <c r="A60" s="145" t="s">
        <v>87</v>
      </c>
      <c r="B60" s="145"/>
      <c r="C60" s="162">
        <v>4.868597019216908</v>
      </c>
      <c r="D60" s="41"/>
      <c r="E60" s="41"/>
      <c r="F60" s="187" t="e">
        <v>#DIV/0!</v>
      </c>
      <c r="G60" s="187">
        <v>0.10573305218675176</v>
      </c>
      <c r="H60" s="187">
        <v>-0.0052153230117944855</v>
      </c>
      <c r="I60" s="187">
        <v>0.04867249547350599</v>
      </c>
      <c r="J60" s="187">
        <v>0.027466956613494457</v>
      </c>
      <c r="K60" s="187">
        <v>0.05704708199458268</v>
      </c>
      <c r="L60" s="187">
        <v>-0.09813021506010214</v>
      </c>
      <c r="M60" s="187">
        <v>-0.1507176297608721</v>
      </c>
      <c r="N60" s="187">
        <v>-0.16905094207955337</v>
      </c>
      <c r="O60" s="187">
        <v>0.03426218312382936</v>
      </c>
      <c r="P60" s="187">
        <v>-0.057707112970711294</v>
      </c>
      <c r="Q60" s="187">
        <v>0.09856492868452839</v>
      </c>
      <c r="R60" s="187">
        <v>0.2355297966437125</v>
      </c>
      <c r="S60" s="187">
        <v>0.24296600924523415</v>
      </c>
      <c r="T60" s="187">
        <v>0.09785979837224101</v>
      </c>
      <c r="U60" s="187">
        <v>0.050231376343661344</v>
      </c>
      <c r="V60" s="187">
        <v>0.03825113705434805</v>
      </c>
      <c r="W60" s="187">
        <v>0.1288128547261211</v>
      </c>
      <c r="X60" s="187">
        <v>0.0635263123868632</v>
      </c>
      <c r="Y60" s="187">
        <v>0.11635858376435841</v>
      </c>
      <c r="Z60" s="187">
        <v>0.06247897117649258</v>
      </c>
      <c r="AA60" s="187">
        <v>-0.830813873468826</v>
      </c>
      <c r="AB60" s="187">
        <v>-0.04489799601187415</v>
      </c>
      <c r="AC60" s="187">
        <v>0.13623572735484168</v>
      </c>
      <c r="AD60" s="187">
        <v>-0.3520000000000001</v>
      </c>
      <c r="AE60" s="187">
        <v>0.133</v>
      </c>
      <c r="AF60" s="187">
        <v>0.12</v>
      </c>
      <c r="AG60" s="187">
        <v>0.239</v>
      </c>
      <c r="AH60" s="187">
        <v>0.185</v>
      </c>
      <c r="AI60" s="187">
        <v>0.18899999999999995</v>
      </c>
      <c r="AJ60" s="187">
        <v>0.16200000000000003</v>
      </c>
      <c r="AK60" s="187">
        <v>0.19</v>
      </c>
      <c r="AL60" s="148"/>
      <c r="AM60" s="187">
        <v>0.05415996116349901</v>
      </c>
      <c r="AN60" s="187">
        <v>-0.05126296941557556</v>
      </c>
      <c r="AO60" s="162">
        <v>10.542293057907456</v>
      </c>
      <c r="AP60" s="41"/>
      <c r="AQ60" s="148"/>
      <c r="AR60" s="187">
        <v>-0.02973446975494341</v>
      </c>
      <c r="AS60" s="187">
        <v>-0.026648965717913448</v>
      </c>
      <c r="AT60" s="187">
        <v>0.17728534613522873</v>
      </c>
      <c r="AU60" s="35">
        <v>0.08941591620969738</v>
      </c>
      <c r="AV60" s="35">
        <v>-0.09880034580853678</v>
      </c>
      <c r="AW60" s="35">
        <v>0.06999999999999995</v>
      </c>
      <c r="AX60" s="188">
        <v>0.18300000000000005</v>
      </c>
      <c r="AY60" s="358">
        <v>0.20399999999999996</v>
      </c>
      <c r="AZ60" s="358">
        <v>0.16800000000000004</v>
      </c>
      <c r="BA60" s="358">
        <v>0.15600000000000003</v>
      </c>
    </row>
    <row r="61" spans="1:53" ht="12.75" customHeight="1">
      <c r="A61" s="146" t="s">
        <v>88</v>
      </c>
      <c r="B61" s="146"/>
      <c r="C61" s="162">
        <v>3.1479399111439377</v>
      </c>
      <c r="D61" s="41"/>
      <c r="E61" s="41"/>
      <c r="F61" s="187" t="e">
        <v>#DIV/0!</v>
      </c>
      <c r="G61" s="187">
        <v>0.24922194922194923</v>
      </c>
      <c r="H61" s="187">
        <v>0.9163179916317992</v>
      </c>
      <c r="I61" s="187">
        <v>0.13497201799626907</v>
      </c>
      <c r="J61" s="187">
        <v>-0.07299148154334391</v>
      </c>
      <c r="K61" s="187">
        <v>0.21774255011050986</v>
      </c>
      <c r="L61" s="187">
        <v>0.1895035770848124</v>
      </c>
      <c r="M61" s="187">
        <v>0.15825135719825298</v>
      </c>
      <c r="N61" s="187">
        <v>-0.058424048736642364</v>
      </c>
      <c r="O61" s="187">
        <v>0.5004933885928557</v>
      </c>
      <c r="P61" s="187">
        <v>0.23462877030162413</v>
      </c>
      <c r="Q61" s="187">
        <v>0.1621690266048638</v>
      </c>
      <c r="R61" s="187">
        <v>0.29139515741820426</v>
      </c>
      <c r="S61" s="187">
        <v>0.30555914464758704</v>
      </c>
      <c r="T61" s="187">
        <v>0.2983092614141967</v>
      </c>
      <c r="U61" s="187">
        <v>0.3222382387629406</v>
      </c>
      <c r="V61" s="187">
        <v>-0.37461187214611874</v>
      </c>
      <c r="W61" s="187">
        <v>0.3225907664724339</v>
      </c>
      <c r="X61" s="187">
        <v>0.1418394606284188</v>
      </c>
      <c r="Y61" s="187">
        <v>0.43032197561738045</v>
      </c>
      <c r="Z61" s="187">
        <v>0.45160807778608825</v>
      </c>
      <c r="AA61" s="187">
        <v>0.13886549691456024</v>
      </c>
      <c r="AB61" s="187">
        <v>-0.08480707395498392</v>
      </c>
      <c r="AC61" s="187">
        <v>0.3004802584045221</v>
      </c>
      <c r="AD61" s="187">
        <v>0.3046797737252265</v>
      </c>
      <c r="AE61" s="187">
        <v>0.381</v>
      </c>
      <c r="AF61" s="187">
        <v>0.351</v>
      </c>
      <c r="AG61" s="187">
        <v>0.335</v>
      </c>
      <c r="AH61" s="187">
        <v>0.3518038668527008</v>
      </c>
      <c r="AI61" s="187">
        <v>0.296</v>
      </c>
      <c r="AJ61" s="187">
        <v>0.295</v>
      </c>
      <c r="AK61" s="187">
        <v>0.338</v>
      </c>
      <c r="AL61" s="148"/>
      <c r="AM61" s="187">
        <v>0.1976854836234153</v>
      </c>
      <c r="AN61" s="187">
        <v>0.15123446394287446</v>
      </c>
      <c r="AO61" s="162">
        <v>4.645101968054083</v>
      </c>
      <c r="AP61" s="41"/>
      <c r="AQ61" s="148"/>
      <c r="AR61" s="187">
        <v>0.20787275335414732</v>
      </c>
      <c r="AS61" s="187">
        <v>-0.3242756994850797</v>
      </c>
      <c r="AT61" s="187">
        <v>0.2999115615699927</v>
      </c>
      <c r="AU61" s="35">
        <v>0.25452644216804476</v>
      </c>
      <c r="AV61" s="35">
        <v>-0.009576474077840633</v>
      </c>
      <c r="AW61" s="35">
        <v>0.39193883293551457</v>
      </c>
      <c r="AX61" s="11">
        <v>0.32374798295187307</v>
      </c>
      <c r="AY61" s="358">
        <v>0.318</v>
      </c>
      <c r="AZ61" s="358">
        <v>0.332</v>
      </c>
      <c r="BA61" s="358">
        <v>0.354</v>
      </c>
    </row>
    <row r="62" spans="1:53" ht="12.75" customHeight="1">
      <c r="A62" s="146" t="s">
        <v>89</v>
      </c>
      <c r="B62" s="146"/>
      <c r="C62" s="162">
        <v>3.475654993886451</v>
      </c>
      <c r="D62" s="41"/>
      <c r="E62" s="41"/>
      <c r="F62" s="187" t="e">
        <v>#DIV/0!</v>
      </c>
      <c r="G62" s="187">
        <v>0.0793820548235834</v>
      </c>
      <c r="H62" s="187">
        <v>-0.00043642870391585653</v>
      </c>
      <c r="I62" s="187">
        <v>0.042103070538532614</v>
      </c>
      <c r="J62" s="187">
        <v>0.029471810470200165</v>
      </c>
      <c r="K62" s="187">
        <v>0.04462550488471889</v>
      </c>
      <c r="L62" s="187">
        <v>-0.07953418828611086</v>
      </c>
      <c r="M62" s="187">
        <v>-0.12686636029751028</v>
      </c>
      <c r="N62" s="187">
        <v>-0.1789275825585845</v>
      </c>
      <c r="O62" s="187">
        <v>0.01711418699159505</v>
      </c>
      <c r="P62" s="187">
        <v>-0.044167364016736405</v>
      </c>
      <c r="Q62" s="187">
        <v>0.0825807501423806</v>
      </c>
      <c r="R62" s="187">
        <v>0.16689755447404026</v>
      </c>
      <c r="S62" s="187">
        <v>0.16872552328182266</v>
      </c>
      <c r="T62" s="187">
        <v>0.06866731419767559</v>
      </c>
      <c r="U62" s="187">
        <v>0.03404490610004147</v>
      </c>
      <c r="V62" s="187">
        <v>0.052580467117995154</v>
      </c>
      <c r="W62" s="187">
        <v>0.08725901718851943</v>
      </c>
      <c r="X62" s="187">
        <v>0.054515774502198085</v>
      </c>
      <c r="Y62" s="187">
        <v>0.06628692811883925</v>
      </c>
      <c r="Z62" s="187">
        <v>0.034262963101424355</v>
      </c>
      <c r="AA62" s="187">
        <v>-0.7154424920860669</v>
      </c>
      <c r="AB62" s="187">
        <v>-0.048705663680083736</v>
      </c>
      <c r="AC62" s="187">
        <v>0.09529958079533085</v>
      </c>
      <c r="AD62" s="187">
        <v>-0.245</v>
      </c>
      <c r="AE62" s="187">
        <v>0.082</v>
      </c>
      <c r="AF62" s="187">
        <v>0.078</v>
      </c>
      <c r="AG62" s="187">
        <v>0.159</v>
      </c>
      <c r="AH62" s="187">
        <v>0.12</v>
      </c>
      <c r="AI62" s="187">
        <v>0.133</v>
      </c>
      <c r="AJ62" s="187">
        <v>0.114</v>
      </c>
      <c r="AK62" s="187">
        <v>0.126</v>
      </c>
      <c r="AL62" s="148"/>
      <c r="AM62" s="187">
        <v>0.043453323047867316</v>
      </c>
      <c r="AN62" s="187">
        <v>-0.04351024171589102</v>
      </c>
      <c r="AO62" s="162">
        <v>8.696356476375833</v>
      </c>
      <c r="AP62" s="41"/>
      <c r="AQ62" s="148"/>
      <c r="AR62" s="187">
        <v>-0.023553483657457703</v>
      </c>
      <c r="AS62" s="187">
        <v>-0.03529057771664374</v>
      </c>
      <c r="AT62" s="187">
        <v>0.12411542113233562</v>
      </c>
      <c r="AU62" s="35">
        <v>0.06665720118364711</v>
      </c>
      <c r="AV62" s="35">
        <v>-0.09974650475905393</v>
      </c>
      <c r="AW62" s="35">
        <v>0.043</v>
      </c>
      <c r="AX62" s="11">
        <v>0.12346977331638732</v>
      </c>
      <c r="AY62" s="358">
        <v>0.139</v>
      </c>
      <c r="AZ62" s="358">
        <v>0.112</v>
      </c>
      <c r="BA62" s="358">
        <v>0.101</v>
      </c>
    </row>
    <row r="63" spans="1:53" ht="12.75" customHeight="1">
      <c r="A63" s="144"/>
      <c r="B63" s="144"/>
      <c r="C63" s="189"/>
      <c r="D63" s="41"/>
      <c r="E63" s="41"/>
      <c r="F63" s="41"/>
      <c r="G63" s="41"/>
      <c r="H63" s="41"/>
      <c r="I63" s="148"/>
      <c r="J63" s="41"/>
      <c r="K63" s="41"/>
      <c r="L63" s="41"/>
      <c r="M63" s="148"/>
      <c r="N63" s="41"/>
      <c r="O63" s="41"/>
      <c r="P63" s="41"/>
      <c r="Q63" s="148"/>
      <c r="R63" s="41"/>
      <c r="S63" s="41"/>
      <c r="T63" s="41"/>
      <c r="U63" s="148"/>
      <c r="V63" s="41"/>
      <c r="W63" s="41"/>
      <c r="X63" s="41"/>
      <c r="Y63" s="148"/>
      <c r="Z63" s="41"/>
      <c r="AA63" s="41"/>
      <c r="AB63" s="41"/>
      <c r="AC63" s="148"/>
      <c r="AD63" s="190"/>
      <c r="AE63" s="190"/>
      <c r="AF63" s="190"/>
      <c r="AG63" s="190"/>
      <c r="AH63" s="190"/>
      <c r="AI63" s="190"/>
      <c r="AJ63" s="190"/>
      <c r="AK63" s="190"/>
      <c r="AL63" s="148"/>
      <c r="AM63" s="148"/>
      <c r="AN63" s="148"/>
      <c r="AO63" s="31"/>
      <c r="AP63" s="41"/>
      <c r="AQ63" s="148"/>
      <c r="AR63" s="35"/>
      <c r="AS63" s="35"/>
      <c r="AT63" s="35"/>
      <c r="AU63" s="35"/>
      <c r="AV63" s="42"/>
      <c r="AW63" s="42"/>
      <c r="AX63" s="191"/>
      <c r="AY63" s="359"/>
      <c r="AZ63" s="359"/>
      <c r="BA63" s="359"/>
    </row>
    <row r="64" spans="1:53" ht="12.75" customHeight="1">
      <c r="A64" s="83" t="s">
        <v>312</v>
      </c>
      <c r="B64" s="83"/>
      <c r="C64" s="40">
        <v>0.06</v>
      </c>
      <c r="D64" s="41">
        <v>0.6666666666666666</v>
      </c>
      <c r="E64" s="41"/>
      <c r="F64" s="455">
        <v>0</v>
      </c>
      <c r="G64" s="455">
        <v>0.15</v>
      </c>
      <c r="H64" s="455">
        <v>-0.03</v>
      </c>
      <c r="I64" s="455">
        <v>0.06</v>
      </c>
      <c r="J64" s="455">
        <v>0.04</v>
      </c>
      <c r="K64" s="455">
        <v>0.09</v>
      </c>
      <c r="L64" s="455">
        <v>-0.19</v>
      </c>
      <c r="M64" s="789">
        <v>-0.24</v>
      </c>
      <c r="N64" s="455">
        <v>-0.42</v>
      </c>
      <c r="O64" s="607">
        <v>0.02</v>
      </c>
      <c r="P64" s="455">
        <v>-0.09</v>
      </c>
      <c r="Q64" s="607">
        <v>0.17</v>
      </c>
      <c r="R64" s="607">
        <v>0.55</v>
      </c>
      <c r="S64" s="607">
        <v>0.57</v>
      </c>
      <c r="T64" s="607">
        <v>0.14</v>
      </c>
      <c r="U64" s="607">
        <v>0.08</v>
      </c>
      <c r="V64" s="455">
        <v>0.15</v>
      </c>
      <c r="W64" s="455">
        <v>0.31</v>
      </c>
      <c r="X64" s="455">
        <v>0.14</v>
      </c>
      <c r="Y64" s="7">
        <v>0.19</v>
      </c>
      <c r="Z64" s="455">
        <v>0.07</v>
      </c>
      <c r="AA64" s="455">
        <v>-1.27</v>
      </c>
      <c r="AB64" s="455">
        <v>-0.11</v>
      </c>
      <c r="AC64" s="7">
        <v>0.35</v>
      </c>
      <c r="AD64" s="186">
        <v>-0.8</v>
      </c>
      <c r="AE64" s="186">
        <v>0.34</v>
      </c>
      <c r="AF64" s="186">
        <v>0.28</v>
      </c>
      <c r="AG64" s="186">
        <v>0.86</v>
      </c>
      <c r="AH64" s="186">
        <v>0.57</v>
      </c>
      <c r="AI64" s="186">
        <v>0.51</v>
      </c>
      <c r="AJ64" s="186">
        <v>0.39</v>
      </c>
      <c r="AK64" s="186">
        <v>0.57</v>
      </c>
      <c r="AL64" s="148"/>
      <c r="AM64" s="40">
        <v>0.18</v>
      </c>
      <c r="AN64" s="51">
        <v>-0.35</v>
      </c>
      <c r="AO64" s="40">
        <v>0.53</v>
      </c>
      <c r="AP64" s="41">
        <v>1.5142857142857145</v>
      </c>
      <c r="AQ64" s="148"/>
      <c r="AR64" s="32">
        <v>-0.31</v>
      </c>
      <c r="AS64" s="32">
        <v>-0.33</v>
      </c>
      <c r="AT64" s="32">
        <v>1.37</v>
      </c>
      <c r="AU64" s="32">
        <v>0.79</v>
      </c>
      <c r="AV64" s="32">
        <v>-0.97</v>
      </c>
      <c r="AW64" s="32">
        <v>0.7</v>
      </c>
      <c r="AX64" s="32">
        <v>2.03</v>
      </c>
      <c r="AY64" s="357">
        <v>1.82</v>
      </c>
      <c r="AZ64" s="357">
        <v>1.17</v>
      </c>
      <c r="BA64" s="357">
        <v>1.43</v>
      </c>
    </row>
    <row r="65" spans="1:53" ht="12.75" customHeight="1">
      <c r="A65" s="83" t="s">
        <v>313</v>
      </c>
      <c r="B65" s="83"/>
      <c r="C65" s="40">
        <v>0.06000000000000001</v>
      </c>
      <c r="D65" s="41">
        <v>0.7500000000000001</v>
      </c>
      <c r="E65" s="41"/>
      <c r="F65" s="455">
        <v>0</v>
      </c>
      <c r="G65" s="455">
        <v>0.14</v>
      </c>
      <c r="H65" s="455">
        <v>-0.03</v>
      </c>
      <c r="I65" s="455">
        <v>0.06</v>
      </c>
      <c r="J65" s="455">
        <v>0.04</v>
      </c>
      <c r="K65" s="455">
        <v>0.08</v>
      </c>
      <c r="L65" s="455">
        <v>-0.19</v>
      </c>
      <c r="M65" s="789">
        <v>-0.24</v>
      </c>
      <c r="N65" s="455">
        <v>-0.42</v>
      </c>
      <c r="O65" s="607">
        <v>0.01</v>
      </c>
      <c r="P65" s="455">
        <v>-0.09</v>
      </c>
      <c r="Q65" s="607">
        <v>0.16</v>
      </c>
      <c r="R65" s="607">
        <v>0.49</v>
      </c>
      <c r="S65" s="607">
        <v>0.51</v>
      </c>
      <c r="T65" s="607">
        <v>0.12</v>
      </c>
      <c r="U65" s="607">
        <v>0.07</v>
      </c>
      <c r="V65" s="455">
        <v>0.14</v>
      </c>
      <c r="W65" s="455">
        <v>0.27</v>
      </c>
      <c r="X65" s="455">
        <v>0.12</v>
      </c>
      <c r="Y65" s="7">
        <v>0.16</v>
      </c>
      <c r="Z65" s="455">
        <v>0.07</v>
      </c>
      <c r="AA65" s="455">
        <v>-1.27</v>
      </c>
      <c r="AB65" s="455">
        <v>-0.11</v>
      </c>
      <c r="AC65" s="7">
        <v>0.31</v>
      </c>
      <c r="AD65" s="186">
        <v>-0.8</v>
      </c>
      <c r="AE65" s="186">
        <v>0.31</v>
      </c>
      <c r="AF65" s="186">
        <v>0.26</v>
      </c>
      <c r="AG65" s="186">
        <v>0.8</v>
      </c>
      <c r="AH65" s="186">
        <v>0.54</v>
      </c>
      <c r="AI65" s="186">
        <v>0.49</v>
      </c>
      <c r="AJ65" s="186">
        <v>0.37</v>
      </c>
      <c r="AK65" s="186">
        <v>0.54</v>
      </c>
      <c r="AL65" s="148"/>
      <c r="AM65" s="40">
        <v>0.16</v>
      </c>
      <c r="AN65" s="51">
        <v>-0.35</v>
      </c>
      <c r="AO65" s="40">
        <v>0.51</v>
      </c>
      <c r="AP65" s="41">
        <v>1.4571428571428573</v>
      </c>
      <c r="AQ65" s="148"/>
      <c r="AR65" s="32">
        <v>-0.31</v>
      </c>
      <c r="AS65" s="32">
        <v>-0.33</v>
      </c>
      <c r="AT65" s="32">
        <v>1.22</v>
      </c>
      <c r="AU65" s="32">
        <v>0.69</v>
      </c>
      <c r="AV65" s="32">
        <v>-0.97</v>
      </c>
      <c r="AW65" s="32">
        <v>0.64</v>
      </c>
      <c r="AX65" s="192">
        <v>1.94</v>
      </c>
      <c r="AY65" s="357">
        <v>1.74</v>
      </c>
      <c r="AZ65" s="357">
        <v>1.11</v>
      </c>
      <c r="BA65" s="357">
        <v>1.12</v>
      </c>
    </row>
    <row r="66" spans="1:53" ht="12.75" customHeight="1">
      <c r="A66" s="83" t="s">
        <v>314</v>
      </c>
      <c r="B66" s="83"/>
      <c r="C66" s="40">
        <v>0.8103708710577857</v>
      </c>
      <c r="D66" s="41">
        <v>0.10635305962329487</v>
      </c>
      <c r="E66" s="41"/>
      <c r="F66" s="455">
        <v>0</v>
      </c>
      <c r="G66" s="455">
        <v>8.43</v>
      </c>
      <c r="H66" s="455">
        <v>8</v>
      </c>
      <c r="I66" s="455">
        <v>7.869096511215604</v>
      </c>
      <c r="J66" s="455">
        <v>7.676582571769011</v>
      </c>
      <c r="K66" s="455">
        <v>7.619629128942214</v>
      </c>
      <c r="L66" s="455">
        <v>7.612902904379619</v>
      </c>
      <c r="M66" s="607">
        <v>7.90262403003414</v>
      </c>
      <c r="N66" s="607">
        <v>8.26</v>
      </c>
      <c r="O66" s="607">
        <v>8.54362469180208</v>
      </c>
      <c r="P66" s="455">
        <v>8.75416122876637</v>
      </c>
      <c r="Q66" s="607">
        <v>8.707372790945776</v>
      </c>
      <c r="R66" s="607">
        <v>8.792885431476526</v>
      </c>
      <c r="S66" s="607">
        <v>8.433123459616738</v>
      </c>
      <c r="T66" s="607">
        <v>8.047419145036363</v>
      </c>
      <c r="U66" s="607">
        <v>7.861051397875489</v>
      </c>
      <c r="V66" s="455">
        <v>6.96</v>
      </c>
      <c r="W66" s="455">
        <v>7</v>
      </c>
      <c r="X66" s="455">
        <v>6.78</v>
      </c>
      <c r="Y66" s="7">
        <v>6.73</v>
      </c>
      <c r="Z66" s="455">
        <v>6.51</v>
      </c>
      <c r="AA66" s="455">
        <v>6.37</v>
      </c>
      <c r="AB66" s="455">
        <v>7.15</v>
      </c>
      <c r="AC66" s="7">
        <v>7.66</v>
      </c>
      <c r="AD66" s="186">
        <v>7.21</v>
      </c>
      <c r="AE66" s="186">
        <v>7.95</v>
      </c>
      <c r="AF66" s="186">
        <v>7.83</v>
      </c>
      <c r="AG66" s="186">
        <v>7.96</v>
      </c>
      <c r="AH66" s="186">
        <v>7.74</v>
      </c>
      <c r="AI66" s="186">
        <v>7.43</v>
      </c>
      <c r="AJ66" s="186">
        <v>6.82</v>
      </c>
      <c r="AK66" s="186">
        <v>6.49</v>
      </c>
      <c r="AL66" s="148"/>
      <c r="AM66" s="40">
        <v>8.43</v>
      </c>
      <c r="AN66" s="715">
        <v>7.619629128942214</v>
      </c>
      <c r="AO66" s="40">
        <v>0.8103708710577857</v>
      </c>
      <c r="AP66" s="41">
        <v>0.10635305962329487</v>
      </c>
      <c r="AQ66" s="148"/>
      <c r="AR66" s="32">
        <v>7.676582571769011</v>
      </c>
      <c r="AS66" s="32">
        <v>8.26</v>
      </c>
      <c r="AT66" s="32">
        <v>8.788598723829708</v>
      </c>
      <c r="AU66" s="32">
        <v>6.96</v>
      </c>
      <c r="AV66" s="32">
        <v>6.51</v>
      </c>
      <c r="AW66" s="32">
        <v>7.21</v>
      </c>
      <c r="AX66" s="186">
        <v>7.74</v>
      </c>
      <c r="AY66" s="357">
        <v>5.99</v>
      </c>
      <c r="AZ66" s="357">
        <v>4.82</v>
      </c>
      <c r="BA66" s="357">
        <v>2.59</v>
      </c>
    </row>
    <row r="67" spans="1:53" ht="12.75" customHeight="1">
      <c r="A67" s="7"/>
      <c r="B67" s="7"/>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83"/>
      <c r="AZ67" s="83"/>
      <c r="BA67" s="83"/>
    </row>
    <row r="68" spans="1:53" ht="18" customHeight="1">
      <c r="A68" s="12" t="s">
        <v>324</v>
      </c>
      <c r="B68" s="7"/>
      <c r="C68" s="83"/>
      <c r="D68" s="83"/>
      <c r="E68" s="148"/>
      <c r="F68" s="148"/>
      <c r="G68" s="148"/>
      <c r="H68" s="148"/>
      <c r="I68" s="148"/>
      <c r="J68" s="148"/>
      <c r="K68" s="148"/>
      <c r="L68" s="148"/>
      <c r="M68" s="148"/>
      <c r="N68" s="148"/>
      <c r="O68" s="148"/>
      <c r="P68" s="148"/>
      <c r="Q68" s="148"/>
      <c r="R68" s="148"/>
      <c r="S68" s="148"/>
      <c r="T68" s="148"/>
      <c r="U68" s="148"/>
      <c r="V68" s="148"/>
      <c r="W68" s="148"/>
      <c r="X68" s="380"/>
      <c r="Y68" s="148"/>
      <c r="Z68" s="148"/>
      <c r="AA68" s="148"/>
      <c r="AB68" s="148"/>
      <c r="AC68" s="148"/>
      <c r="AD68" s="148"/>
      <c r="AE68" s="148"/>
      <c r="AF68" s="83"/>
      <c r="AG68" s="83"/>
      <c r="AH68" s="83"/>
      <c r="AI68" s="83"/>
      <c r="AJ68" s="83"/>
      <c r="AK68" s="83"/>
      <c r="AL68" s="83"/>
      <c r="AM68" s="1385"/>
      <c r="AN68" s="83"/>
      <c r="AO68" s="83"/>
      <c r="AP68" s="83"/>
      <c r="AQ68" s="83"/>
      <c r="AR68" s="741"/>
      <c r="AS68" s="741"/>
      <c r="AT68" s="83"/>
      <c r="AU68" s="83"/>
      <c r="AV68" s="83"/>
      <c r="AW68" s="83"/>
      <c r="AX68" s="83"/>
      <c r="AY68" s="357"/>
      <c r="AZ68" s="357"/>
      <c r="BA68" s="357"/>
    </row>
    <row r="69" spans="1:53" ht="12.75" customHeight="1">
      <c r="A69" s="193"/>
      <c r="B69" s="7"/>
      <c r="C69" s="83"/>
      <c r="D69" s="83"/>
      <c r="E69" s="148"/>
      <c r="F69" s="468"/>
      <c r="G69" s="468"/>
      <c r="H69" s="468"/>
      <c r="I69" s="148"/>
      <c r="J69" s="468"/>
      <c r="K69" s="468"/>
      <c r="L69" s="468"/>
      <c r="M69" s="148"/>
      <c r="N69" s="468"/>
      <c r="O69" s="148"/>
      <c r="P69" s="468"/>
      <c r="Q69" s="148"/>
      <c r="R69" s="468"/>
      <c r="S69" s="148"/>
      <c r="T69" s="148"/>
      <c r="U69" s="148"/>
      <c r="V69" s="468"/>
      <c r="W69" s="468"/>
      <c r="X69" s="468"/>
      <c r="Y69" s="148"/>
      <c r="Z69" s="468"/>
      <c r="AA69" s="468"/>
      <c r="AB69" s="148"/>
      <c r="AC69" s="148"/>
      <c r="AD69" s="148"/>
      <c r="AE69" s="148"/>
      <c r="AF69" s="83"/>
      <c r="AG69" s="83"/>
      <c r="AH69" s="83"/>
      <c r="AI69" s="83"/>
      <c r="AJ69" s="83"/>
      <c r="AK69" s="83"/>
      <c r="AL69" s="83"/>
      <c r="AM69" s="83"/>
      <c r="AN69" s="83"/>
      <c r="AO69" s="83"/>
      <c r="AP69" s="83"/>
      <c r="AQ69" s="83"/>
      <c r="AR69" s="83"/>
      <c r="AS69" s="83"/>
      <c r="AT69" s="83"/>
      <c r="AU69" s="83"/>
      <c r="AV69" s="83"/>
      <c r="AW69" s="83"/>
      <c r="AX69" s="83"/>
      <c r="AY69" s="357"/>
      <c r="AZ69" s="357"/>
      <c r="BA69" s="357"/>
    </row>
    <row r="70" spans="1:54" ht="12.75" customHeight="1">
      <c r="A70" s="6"/>
      <c r="B70" s="7"/>
      <c r="C70" s="1437" t="s">
        <v>497</v>
      </c>
      <c r="D70" s="1438"/>
      <c r="E70" s="259"/>
      <c r="F70" s="535"/>
      <c r="G70" s="535"/>
      <c r="H70" s="535"/>
      <c r="I70" s="165"/>
      <c r="J70" s="535"/>
      <c r="K70" s="535"/>
      <c r="L70" s="535"/>
      <c r="M70" s="165"/>
      <c r="N70" s="669"/>
      <c r="O70" s="18"/>
      <c r="P70" s="535"/>
      <c r="Q70" s="165"/>
      <c r="R70" s="669"/>
      <c r="S70" s="18"/>
      <c r="T70" s="18"/>
      <c r="U70" s="165"/>
      <c r="V70" s="669"/>
      <c r="W70" s="535"/>
      <c r="Y70" s="165"/>
      <c r="Z70" s="535"/>
      <c r="AA70" s="15"/>
      <c r="AB70" s="18"/>
      <c r="AC70" s="165"/>
      <c r="AD70" s="195"/>
      <c r="AE70" s="195"/>
      <c r="AF70" s="195"/>
      <c r="AG70" s="195"/>
      <c r="AH70" s="194"/>
      <c r="AI70" s="165"/>
      <c r="AJ70" s="165"/>
      <c r="AK70" s="165"/>
      <c r="AL70" s="89"/>
      <c r="AM70" s="725" t="s">
        <v>406</v>
      </c>
      <c r="AN70" s="711"/>
      <c r="AO70" s="711" t="s">
        <v>480</v>
      </c>
      <c r="AP70" s="712"/>
      <c r="AQ70" s="15"/>
      <c r="AR70" s="88"/>
      <c r="AS70" s="88"/>
      <c r="AT70" s="88"/>
      <c r="AU70" s="88"/>
      <c r="AV70" s="88"/>
      <c r="AW70" s="196"/>
      <c r="AX70" s="194"/>
      <c r="AY70" s="88"/>
      <c r="AZ70" s="88"/>
      <c r="BA70" s="88"/>
      <c r="BB70" s="25"/>
    </row>
    <row r="71" spans="1:54" ht="12.75" customHeight="1">
      <c r="A71" s="147" t="s">
        <v>107</v>
      </c>
      <c r="B71" s="7"/>
      <c r="C71" s="1441" t="s">
        <v>41</v>
      </c>
      <c r="D71" s="1442"/>
      <c r="E71" s="605"/>
      <c r="F71" s="21" t="s">
        <v>431</v>
      </c>
      <c r="G71" s="21" t="s">
        <v>430</v>
      </c>
      <c r="H71" s="21" t="s">
        <v>429</v>
      </c>
      <c r="I71" s="14" t="s">
        <v>427</v>
      </c>
      <c r="J71" s="21" t="s">
        <v>362</v>
      </c>
      <c r="K71" s="21" t="s">
        <v>363</v>
      </c>
      <c r="L71" s="21" t="s">
        <v>364</v>
      </c>
      <c r="M71" s="14" t="s">
        <v>365</v>
      </c>
      <c r="N71" s="20" t="s">
        <v>277</v>
      </c>
      <c r="O71" s="21" t="s">
        <v>278</v>
      </c>
      <c r="P71" s="21" t="s">
        <v>279</v>
      </c>
      <c r="Q71" s="14" t="s">
        <v>276</v>
      </c>
      <c r="R71" s="20" t="s">
        <v>222</v>
      </c>
      <c r="S71" s="21" t="s">
        <v>223</v>
      </c>
      <c r="T71" s="21" t="s">
        <v>224</v>
      </c>
      <c r="U71" s="14" t="s">
        <v>225</v>
      </c>
      <c r="V71" s="20" t="s">
        <v>141</v>
      </c>
      <c r="W71" s="21" t="s">
        <v>140</v>
      </c>
      <c r="X71" s="21" t="s">
        <v>139</v>
      </c>
      <c r="Y71" s="14" t="s">
        <v>138</v>
      </c>
      <c r="Z71" s="21" t="s">
        <v>91</v>
      </c>
      <c r="AA71" s="21" t="s">
        <v>92</v>
      </c>
      <c r="AB71" s="21" t="s">
        <v>93</v>
      </c>
      <c r="AC71" s="14" t="s">
        <v>32</v>
      </c>
      <c r="AD71" s="21" t="s">
        <v>33</v>
      </c>
      <c r="AE71" s="21" t="s">
        <v>34</v>
      </c>
      <c r="AF71" s="21" t="s">
        <v>35</v>
      </c>
      <c r="AG71" s="21" t="s">
        <v>36</v>
      </c>
      <c r="AH71" s="23" t="s">
        <v>37</v>
      </c>
      <c r="AI71" s="14" t="s">
        <v>38</v>
      </c>
      <c r="AJ71" s="14" t="s">
        <v>39</v>
      </c>
      <c r="AK71" s="14" t="s">
        <v>40</v>
      </c>
      <c r="AL71" s="259"/>
      <c r="AM71" s="21" t="s">
        <v>430</v>
      </c>
      <c r="AN71" s="21" t="s">
        <v>363</v>
      </c>
      <c r="AO71" s="1435" t="s">
        <v>41</v>
      </c>
      <c r="AP71" s="1436"/>
      <c r="AQ71" s="197"/>
      <c r="AR71" s="20" t="s">
        <v>367</v>
      </c>
      <c r="AS71" s="20" t="s">
        <v>285</v>
      </c>
      <c r="AT71" s="20" t="s">
        <v>143</v>
      </c>
      <c r="AU71" s="20" t="s">
        <v>142</v>
      </c>
      <c r="AV71" s="20" t="s">
        <v>45</v>
      </c>
      <c r="AW71" s="20" t="s">
        <v>42</v>
      </c>
      <c r="AX71" s="23" t="s">
        <v>43</v>
      </c>
      <c r="AY71" s="23" t="s">
        <v>165</v>
      </c>
      <c r="AZ71" s="23" t="s">
        <v>166</v>
      </c>
      <c r="BA71" s="372" t="s">
        <v>167</v>
      </c>
      <c r="BB71" s="25"/>
    </row>
    <row r="72" spans="1:54" ht="12.75" customHeight="1">
      <c r="A72" s="147"/>
      <c r="B72" s="148" t="s">
        <v>4</v>
      </c>
      <c r="C72" s="84">
        <v>956</v>
      </c>
      <c r="D72" s="539">
        <v>0.004156467524336639</v>
      </c>
      <c r="E72" s="89"/>
      <c r="F72" s="380"/>
      <c r="G72" s="380">
        <v>230959</v>
      </c>
      <c r="H72" s="380">
        <v>183306</v>
      </c>
      <c r="I72" s="424">
        <v>187231</v>
      </c>
      <c r="J72" s="380">
        <v>217971</v>
      </c>
      <c r="K72" s="380">
        <v>230003</v>
      </c>
      <c r="L72" s="380">
        <v>186599</v>
      </c>
      <c r="M72" s="855">
        <v>162549</v>
      </c>
      <c r="N72" s="380">
        <v>177692</v>
      </c>
      <c r="O72" s="380">
        <v>147889</v>
      </c>
      <c r="P72" s="610">
        <v>119500</v>
      </c>
      <c r="Q72" s="424">
        <v>159783</v>
      </c>
      <c r="R72" s="380">
        <v>247595</v>
      </c>
      <c r="S72" s="380">
        <v>254834</v>
      </c>
      <c r="T72" s="380">
        <v>149285</v>
      </c>
      <c r="U72" s="424">
        <v>151917</v>
      </c>
      <c r="V72" s="230">
        <v>143133</v>
      </c>
      <c r="W72" s="702">
        <v>173197</v>
      </c>
      <c r="X72" s="380">
        <v>123744</v>
      </c>
      <c r="Y72" s="424">
        <v>137463</v>
      </c>
      <c r="Z72" s="390">
        <v>106996</v>
      </c>
      <c r="AA72" s="380">
        <v>87188</v>
      </c>
      <c r="AB72" s="380">
        <v>110829</v>
      </c>
      <c r="AC72" s="424">
        <v>172708</v>
      </c>
      <c r="AD72" s="31">
        <v>143446</v>
      </c>
      <c r="AE72" s="31">
        <v>183354</v>
      </c>
      <c r="AF72" s="31">
        <v>158869</v>
      </c>
      <c r="AG72" s="157">
        <v>245870</v>
      </c>
      <c r="AH72" s="43">
        <v>216443</v>
      </c>
      <c r="AI72" s="28">
        <v>178313</v>
      </c>
      <c r="AJ72" s="28">
        <v>156031</v>
      </c>
      <c r="AK72" s="157">
        <v>206127</v>
      </c>
      <c r="AL72" s="89"/>
      <c r="AM72" s="610">
        <v>601496</v>
      </c>
      <c r="AN72" s="610">
        <v>579151</v>
      </c>
      <c r="AO72" s="397">
        <v>22345</v>
      </c>
      <c r="AP72" s="398">
        <v>0.03858233863016726</v>
      </c>
      <c r="AQ72" s="83"/>
      <c r="AR72" s="161">
        <v>797122</v>
      </c>
      <c r="AS72" s="179">
        <v>604864</v>
      </c>
      <c r="AT72" s="179">
        <v>803631</v>
      </c>
      <c r="AU72" s="179">
        <v>577537</v>
      </c>
      <c r="AV72" s="662">
        <v>477721</v>
      </c>
      <c r="AW72" s="85">
        <v>731539</v>
      </c>
      <c r="AX72" s="43">
        <v>756914</v>
      </c>
      <c r="AY72" s="360">
        <v>583415</v>
      </c>
      <c r="AZ72" s="360">
        <v>432778</v>
      </c>
      <c r="BA72" s="360">
        <v>402157</v>
      </c>
      <c r="BB72" s="25"/>
    </row>
    <row r="73" spans="1:54" ht="12.75" customHeight="1">
      <c r="A73" s="83"/>
      <c r="B73" s="148" t="s">
        <v>90</v>
      </c>
      <c r="C73" s="84">
        <v>-2111</v>
      </c>
      <c r="D73" s="30">
        <v>-0.010296305328618461</v>
      </c>
      <c r="E73" s="606"/>
      <c r="F73" s="466"/>
      <c r="G73" s="466">
        <v>202914</v>
      </c>
      <c r="H73" s="466">
        <v>175367</v>
      </c>
      <c r="I73" s="424">
        <v>174527</v>
      </c>
      <c r="J73" s="466">
        <v>200481</v>
      </c>
      <c r="K73" s="466">
        <v>205025</v>
      </c>
      <c r="L73" s="466">
        <v>179710</v>
      </c>
      <c r="M73" s="855">
        <v>181677</v>
      </c>
      <c r="N73" s="466">
        <v>166505</v>
      </c>
      <c r="O73" s="466">
        <v>132063</v>
      </c>
      <c r="P73" s="488">
        <v>122510</v>
      </c>
      <c r="Q73" s="424">
        <v>143104</v>
      </c>
      <c r="R73" s="466">
        <v>188349</v>
      </c>
      <c r="S73" s="466">
        <v>190238</v>
      </c>
      <c r="T73" s="466">
        <v>132849</v>
      </c>
      <c r="U73" s="424">
        <v>131857</v>
      </c>
      <c r="V73" s="446">
        <v>132658</v>
      </c>
      <c r="W73" s="443">
        <v>150887</v>
      </c>
      <c r="X73" s="466">
        <v>115883</v>
      </c>
      <c r="Y73" s="424">
        <v>121468</v>
      </c>
      <c r="Z73" s="466">
        <v>100169</v>
      </c>
      <c r="AA73" s="466">
        <v>108534</v>
      </c>
      <c r="AB73" s="466">
        <v>115805</v>
      </c>
      <c r="AC73" s="424">
        <v>149179</v>
      </c>
      <c r="AD73" s="31">
        <v>131632</v>
      </c>
      <c r="AE73" s="31">
        <v>154817</v>
      </c>
      <c r="AF73" s="31">
        <v>135342</v>
      </c>
      <c r="AG73" s="28">
        <v>187220</v>
      </c>
      <c r="AH73" s="43">
        <v>176307</v>
      </c>
      <c r="AI73" s="28">
        <v>144677</v>
      </c>
      <c r="AJ73" s="28">
        <v>130781</v>
      </c>
      <c r="AK73" s="28">
        <v>166952</v>
      </c>
      <c r="AL73" s="89"/>
      <c r="AM73" s="610">
        <v>552808</v>
      </c>
      <c r="AN73" s="610">
        <v>566412</v>
      </c>
      <c r="AO73" s="213">
        <v>-13604</v>
      </c>
      <c r="AP73" s="395">
        <v>-0.024017852729108845</v>
      </c>
      <c r="AQ73" s="83"/>
      <c r="AR73" s="179">
        <v>766893</v>
      </c>
      <c r="AS73" s="179">
        <v>564182</v>
      </c>
      <c r="AT73" s="179">
        <v>643293</v>
      </c>
      <c r="AU73" s="179">
        <v>520896</v>
      </c>
      <c r="AV73" s="662">
        <v>473687</v>
      </c>
      <c r="AW73" s="85">
        <v>609011</v>
      </c>
      <c r="AX73" s="43">
        <v>618717</v>
      </c>
      <c r="AY73" s="43">
        <v>466018</v>
      </c>
      <c r="AZ73" s="43">
        <v>360022</v>
      </c>
      <c r="BA73" s="43">
        <v>339600</v>
      </c>
      <c r="BB73" s="25"/>
    </row>
    <row r="74" spans="1:57" ht="12.75" customHeight="1">
      <c r="A74" s="83"/>
      <c r="B74" s="148" t="s">
        <v>262</v>
      </c>
      <c r="C74" s="84">
        <v>3067</v>
      </c>
      <c r="D74" s="30">
        <v>0.12278805348706862</v>
      </c>
      <c r="E74" s="606"/>
      <c r="F74" s="466"/>
      <c r="G74" s="466">
        <v>28045</v>
      </c>
      <c r="H74" s="466">
        <v>7939</v>
      </c>
      <c r="I74" s="424">
        <v>12704</v>
      </c>
      <c r="J74" s="466">
        <v>17490</v>
      </c>
      <c r="K74" s="466">
        <v>24978</v>
      </c>
      <c r="L74" s="466">
        <v>6889</v>
      </c>
      <c r="M74" s="855">
        <v>-19128</v>
      </c>
      <c r="N74" s="466">
        <v>11187</v>
      </c>
      <c r="O74" s="466">
        <v>15826</v>
      </c>
      <c r="P74" s="488">
        <v>-3010</v>
      </c>
      <c r="Q74" s="424">
        <v>16679</v>
      </c>
      <c r="R74" s="466">
        <v>59246</v>
      </c>
      <c r="S74" s="466">
        <v>64596</v>
      </c>
      <c r="T74" s="466">
        <v>16436</v>
      </c>
      <c r="U74" s="424">
        <v>20060</v>
      </c>
      <c r="V74" s="446">
        <v>10475</v>
      </c>
      <c r="W74" s="443">
        <v>22310</v>
      </c>
      <c r="X74" s="466">
        <v>7861</v>
      </c>
      <c r="Y74" s="424">
        <v>15995</v>
      </c>
      <c r="Z74" s="466">
        <v>6827</v>
      </c>
      <c r="AA74" s="466">
        <v>-21346</v>
      </c>
      <c r="AB74" s="466">
        <v>-4976</v>
      </c>
      <c r="AC74" s="424">
        <v>23529</v>
      </c>
      <c r="AD74" s="31">
        <v>11814</v>
      </c>
      <c r="AE74" s="31">
        <v>28537</v>
      </c>
      <c r="AF74" s="31">
        <v>23527</v>
      </c>
      <c r="AG74" s="28">
        <v>58650</v>
      </c>
      <c r="AH74" s="43">
        <v>40136</v>
      </c>
      <c r="AI74" s="28">
        <v>33636</v>
      </c>
      <c r="AJ74" s="28">
        <v>25250</v>
      </c>
      <c r="AK74" s="28">
        <v>39175</v>
      </c>
      <c r="AL74" s="89"/>
      <c r="AM74" s="610">
        <v>48688</v>
      </c>
      <c r="AN74" s="610">
        <v>12739</v>
      </c>
      <c r="AO74" s="213">
        <v>35949</v>
      </c>
      <c r="AP74" s="553">
        <v>2.821964047413455</v>
      </c>
      <c r="AQ74" s="83"/>
      <c r="AR74" s="179">
        <v>30229</v>
      </c>
      <c r="AS74" s="179">
        <v>40682</v>
      </c>
      <c r="AT74" s="179">
        <v>160338</v>
      </c>
      <c r="AU74" s="179">
        <v>56641</v>
      </c>
      <c r="AV74" s="662">
        <v>4034</v>
      </c>
      <c r="AW74" s="85">
        <v>122528</v>
      </c>
      <c r="AX74" s="43">
        <v>138197</v>
      </c>
      <c r="AY74" s="43">
        <v>117397</v>
      </c>
      <c r="AZ74" s="43">
        <v>72756</v>
      </c>
      <c r="BA74" s="43">
        <v>62557</v>
      </c>
      <c r="BB74" s="25"/>
      <c r="BD74" s="326"/>
      <c r="BE74" s="326"/>
    </row>
    <row r="75" spans="1:56" ht="12.75" customHeight="1">
      <c r="A75" s="83"/>
      <c r="B75" s="148" t="s">
        <v>7</v>
      </c>
      <c r="C75" s="84">
        <v>774</v>
      </c>
      <c r="D75" s="30">
        <v>0.037842859238253555</v>
      </c>
      <c r="E75" s="606"/>
      <c r="F75" s="466"/>
      <c r="G75" s="466">
        <v>21227</v>
      </c>
      <c r="H75" s="466">
        <v>6734</v>
      </c>
      <c r="I75" s="424">
        <v>11810</v>
      </c>
      <c r="J75" s="466">
        <v>15579</v>
      </c>
      <c r="K75" s="466">
        <v>20453</v>
      </c>
      <c r="L75" s="466">
        <v>5907</v>
      </c>
      <c r="M75" s="855">
        <v>-16295</v>
      </c>
      <c r="N75" s="446">
        <v>2089</v>
      </c>
      <c r="O75" s="466">
        <v>10644</v>
      </c>
      <c r="P75" s="488">
        <v>-1665</v>
      </c>
      <c r="Q75" s="424">
        <v>14125</v>
      </c>
      <c r="R75" s="446">
        <v>42253</v>
      </c>
      <c r="S75" s="466">
        <v>45604</v>
      </c>
      <c r="T75" s="466">
        <v>12078</v>
      </c>
      <c r="U75" s="424">
        <v>14191.4503</v>
      </c>
      <c r="V75" s="446">
        <v>11072</v>
      </c>
      <c r="W75" s="443">
        <v>15113</v>
      </c>
      <c r="X75" s="466">
        <v>6746</v>
      </c>
      <c r="Y75" s="426">
        <v>9112</v>
      </c>
      <c r="Z75" s="474">
        <v>3764</v>
      </c>
      <c r="AA75" s="474">
        <v>-16242</v>
      </c>
      <c r="AB75" s="474">
        <v>-5398</v>
      </c>
      <c r="AC75" s="426">
        <v>16459</v>
      </c>
      <c r="AD75" s="158">
        <v>7174.52</v>
      </c>
      <c r="AE75" s="158">
        <v>17832.934</v>
      </c>
      <c r="AF75" s="158">
        <v>15309.940999999999</v>
      </c>
      <c r="AG75" s="159">
        <v>39029</v>
      </c>
      <c r="AH75" s="160">
        <v>26016</v>
      </c>
      <c r="AI75" s="159">
        <v>23692</v>
      </c>
      <c r="AJ75" s="159">
        <v>17806</v>
      </c>
      <c r="AK75" s="159">
        <v>25942</v>
      </c>
      <c r="AL75" s="89"/>
      <c r="AM75" s="610">
        <v>39771</v>
      </c>
      <c r="AN75" s="610">
        <v>10065</v>
      </c>
      <c r="AO75" s="213">
        <v>29706</v>
      </c>
      <c r="AP75" s="553">
        <v>2.951415797317437</v>
      </c>
      <c r="AQ75" s="83"/>
      <c r="AR75" s="179">
        <v>25644</v>
      </c>
      <c r="AS75" s="179">
        <v>25193</v>
      </c>
      <c r="AT75" s="179">
        <v>114126.4503</v>
      </c>
      <c r="AU75" s="179">
        <v>42043</v>
      </c>
      <c r="AV75" s="662">
        <v>-1417</v>
      </c>
      <c r="AW75" s="85">
        <v>79346.395</v>
      </c>
      <c r="AX75" s="43">
        <v>93256</v>
      </c>
      <c r="AY75" s="160">
        <v>79517</v>
      </c>
      <c r="AZ75" s="160">
        <v>48579</v>
      </c>
      <c r="BA75" s="160">
        <v>40429</v>
      </c>
      <c r="BD75" s="326"/>
    </row>
    <row r="76" spans="1:56" ht="12.75" customHeight="1">
      <c r="A76" s="7"/>
      <c r="B76" s="7" t="s">
        <v>484</v>
      </c>
      <c r="C76" s="56">
        <v>-777.6499999999978</v>
      </c>
      <c r="D76" s="30">
        <v>-0.037485057072342946</v>
      </c>
      <c r="E76" s="591"/>
      <c r="F76" s="55"/>
      <c r="G76" s="55">
        <v>19967.95</v>
      </c>
      <c r="H76" s="55">
        <v>6192.3</v>
      </c>
      <c r="I76" s="57">
        <v>12413.9</v>
      </c>
      <c r="J76" s="55">
        <v>15657.05</v>
      </c>
      <c r="K76" s="55">
        <v>20745.6</v>
      </c>
      <c r="L76" s="55">
        <v>5864</v>
      </c>
      <c r="M76" s="1337">
        <v>-16059.3</v>
      </c>
      <c r="N76" s="55">
        <v>2306.1</v>
      </c>
      <c r="O76" s="55">
        <v>10825.125</v>
      </c>
      <c r="P76" s="1338">
        <v>-1665</v>
      </c>
      <c r="Q76" s="57">
        <v>14125</v>
      </c>
      <c r="R76" s="55">
        <v>42253</v>
      </c>
      <c r="S76" s="55">
        <v>45604</v>
      </c>
      <c r="T76" s="55">
        <v>12078</v>
      </c>
      <c r="U76" s="57">
        <v>14191.4503</v>
      </c>
      <c r="V76" s="55">
        <v>11072</v>
      </c>
      <c r="W76" s="55">
        <v>15113</v>
      </c>
      <c r="X76" s="55"/>
      <c r="Y76" s="57"/>
      <c r="Z76" s="55"/>
      <c r="AA76" s="55"/>
      <c r="AB76" s="55"/>
      <c r="AC76" s="57"/>
      <c r="AD76" s="55"/>
      <c r="AE76" s="55"/>
      <c r="AF76" s="55"/>
      <c r="AG76" s="55"/>
      <c r="AH76" s="59"/>
      <c r="AI76" s="57"/>
      <c r="AJ76" s="57"/>
      <c r="AK76" s="57"/>
      <c r="AL76" s="497"/>
      <c r="AM76" s="55">
        <v>38574.15</v>
      </c>
      <c r="AN76" s="1340">
        <v>10550.3</v>
      </c>
      <c r="AO76" s="55">
        <v>28023.850000000002</v>
      </c>
      <c r="AP76" s="553">
        <v>2.6562135673867098</v>
      </c>
      <c r="AQ76" s="53"/>
      <c r="AR76" s="59">
        <v>26207.349999999995</v>
      </c>
      <c r="AS76" s="59">
        <v>25591.225</v>
      </c>
      <c r="AT76" s="59">
        <v>114126.4503</v>
      </c>
      <c r="AU76" s="59">
        <v>42043</v>
      </c>
      <c r="AV76" s="1341">
        <v>-1417</v>
      </c>
      <c r="AW76" s="59">
        <v>79346.395</v>
      </c>
      <c r="AX76" s="59">
        <v>93256</v>
      </c>
      <c r="AY76" s="59"/>
      <c r="AZ76" s="59"/>
      <c r="BA76" s="59"/>
      <c r="BD76" s="326"/>
    </row>
    <row r="77" spans="1:53" ht="12.75" customHeight="1">
      <c r="A77" s="83"/>
      <c r="B77" s="148" t="s">
        <v>319</v>
      </c>
      <c r="C77" s="154">
        <v>-700.6499999999978</v>
      </c>
      <c r="D77" s="149">
        <v>-0.039478577385111104</v>
      </c>
      <c r="E77" s="606"/>
      <c r="F77" s="474"/>
      <c r="G77" s="474">
        <v>17046.95</v>
      </c>
      <c r="H77" s="474">
        <v>3271.3</v>
      </c>
      <c r="I77" s="427">
        <v>9453.9</v>
      </c>
      <c r="J77" s="474">
        <v>12770.05</v>
      </c>
      <c r="K77" s="474">
        <v>17747.6</v>
      </c>
      <c r="L77" s="474">
        <v>2866</v>
      </c>
      <c r="M77" s="860">
        <v>-18896.3</v>
      </c>
      <c r="N77" s="483">
        <v>1199.1</v>
      </c>
      <c r="O77" s="474">
        <v>9007.125</v>
      </c>
      <c r="P77" s="1339">
        <v>-3465</v>
      </c>
      <c r="Q77" s="427">
        <v>14035</v>
      </c>
      <c r="R77" s="483">
        <v>42253</v>
      </c>
      <c r="S77" s="474">
        <v>45604</v>
      </c>
      <c r="T77" s="474">
        <v>12078</v>
      </c>
      <c r="U77" s="427">
        <v>14191.4503</v>
      </c>
      <c r="V77" s="428">
        <v>11072</v>
      </c>
      <c r="W77" s="427">
        <v>15113</v>
      </c>
      <c r="X77" s="427">
        <v>6746</v>
      </c>
      <c r="Y77" s="380"/>
      <c r="Z77" s="466"/>
      <c r="AA77" s="466"/>
      <c r="AB77" s="466"/>
      <c r="AC77" s="380"/>
      <c r="AD77" s="31"/>
      <c r="AE77" s="31"/>
      <c r="AF77" s="31"/>
      <c r="AG77" s="31"/>
      <c r="AH77" s="31"/>
      <c r="AI77" s="31"/>
      <c r="AJ77" s="31"/>
      <c r="AK77" s="31"/>
      <c r="AL77" s="89"/>
      <c r="AM77" s="483">
        <v>29772.15</v>
      </c>
      <c r="AN77" s="1339">
        <v>1717.2999999999993</v>
      </c>
      <c r="AO77" s="396">
        <v>28054.850000000002</v>
      </c>
      <c r="AP77" s="558" t="s">
        <v>44</v>
      </c>
      <c r="AQ77" s="83"/>
      <c r="AR77" s="428">
        <v>14487.349999999995</v>
      </c>
      <c r="AS77" s="428">
        <v>20776.225</v>
      </c>
      <c r="AT77" s="428">
        <v>114126.4503</v>
      </c>
      <c r="AU77" s="428">
        <v>42043</v>
      </c>
      <c r="AV77" s="1342">
        <v>-1417</v>
      </c>
      <c r="AW77" s="428">
        <v>79346.395</v>
      </c>
      <c r="AX77" s="428">
        <v>93256</v>
      </c>
      <c r="AY77" s="31"/>
      <c r="AZ77" s="31"/>
      <c r="BA77" s="31"/>
    </row>
    <row r="78" spans="1:53" ht="12.75" customHeight="1">
      <c r="A78" s="83"/>
      <c r="B78" s="148"/>
      <c r="C78" s="153"/>
      <c r="D78" s="11"/>
      <c r="E78" s="11"/>
      <c r="F78" s="11"/>
      <c r="G78" s="11"/>
      <c r="H78" s="11"/>
      <c r="I78" s="148"/>
      <c r="J78" s="11"/>
      <c r="K78" s="11"/>
      <c r="L78" s="11"/>
      <c r="M78" s="148"/>
      <c r="N78" s="11"/>
      <c r="O78" s="11"/>
      <c r="P78" s="11"/>
      <c r="Q78" s="148"/>
      <c r="R78" s="11"/>
      <c r="S78" s="11"/>
      <c r="T78" s="11"/>
      <c r="U78" s="148"/>
      <c r="V78" s="11"/>
      <c r="W78" s="11"/>
      <c r="X78" s="11"/>
      <c r="Y78" s="148"/>
      <c r="Z78" s="11"/>
      <c r="AA78" s="11"/>
      <c r="AB78" s="11"/>
      <c r="AC78" s="148"/>
      <c r="AD78" s="153"/>
      <c r="AE78" s="153"/>
      <c r="AF78" s="153"/>
      <c r="AG78" s="153"/>
      <c r="AH78" s="153"/>
      <c r="AI78" s="153"/>
      <c r="AJ78" s="153"/>
      <c r="AK78" s="153"/>
      <c r="AL78" s="148"/>
      <c r="AM78" s="148"/>
      <c r="AN78" s="148"/>
      <c r="AO78" s="153"/>
      <c r="AP78" s="11"/>
      <c r="AQ78" s="148"/>
      <c r="AR78" s="148"/>
      <c r="AS78" s="148"/>
      <c r="AT78" s="148"/>
      <c r="AU78" s="148"/>
      <c r="AV78" s="148"/>
      <c r="AW78" s="153"/>
      <c r="AX78" s="153"/>
      <c r="AY78" s="31"/>
      <c r="AZ78" s="31"/>
      <c r="BA78" s="31"/>
    </row>
    <row r="79" spans="1:53" ht="12.75" customHeight="1">
      <c r="A79" s="83"/>
      <c r="B79" s="145" t="s">
        <v>85</v>
      </c>
      <c r="C79" s="162">
        <v>-1.4760829290063837</v>
      </c>
      <c r="D79" s="11"/>
      <c r="E79" s="11"/>
      <c r="F79" s="11" t="e">
        <v>#DIV/0!</v>
      </c>
      <c r="G79" s="11">
        <v>0.2887395598352954</v>
      </c>
      <c r="H79" s="11">
        <v>0.3619630563102135</v>
      </c>
      <c r="I79" s="11">
        <v>0.34765610395714386</v>
      </c>
      <c r="J79" s="11">
        <v>0.2952640488872373</v>
      </c>
      <c r="K79" s="11">
        <v>0.30350038912535926</v>
      </c>
      <c r="L79" s="11">
        <v>0.3417971157401701</v>
      </c>
      <c r="M79" s="11">
        <v>0.4534201994475512</v>
      </c>
      <c r="N79" s="11">
        <v>0.2995576615717083</v>
      </c>
      <c r="O79" s="11">
        <v>0.31942199893163115</v>
      </c>
      <c r="P79" s="11">
        <v>0.38919665271966525</v>
      </c>
      <c r="Q79" s="11">
        <v>0.30274184362541695</v>
      </c>
      <c r="R79" s="11">
        <v>0.20768997758436156</v>
      </c>
      <c r="S79" s="11">
        <v>0.1917287332145632</v>
      </c>
      <c r="T79" s="11">
        <v>0.3080617610610577</v>
      </c>
      <c r="U79" s="11">
        <v>0.2867091898865828</v>
      </c>
      <c r="V79" s="11">
        <v>0.3017473259136607</v>
      </c>
      <c r="W79" s="11">
        <v>0.24290259069152467</v>
      </c>
      <c r="X79" s="11">
        <v>0.30655223687613137</v>
      </c>
      <c r="Y79" s="11">
        <v>0.2851894691662484</v>
      </c>
      <c r="Z79" s="11">
        <v>0.38178997345695165</v>
      </c>
      <c r="AA79" s="11">
        <v>0.6012065880625774</v>
      </c>
      <c r="AB79" s="442">
        <v>0.4568569598209855</v>
      </c>
      <c r="AC79" s="11">
        <v>0.2953482178011441</v>
      </c>
      <c r="AD79" s="11">
        <v>0.37250951577597147</v>
      </c>
      <c r="AE79" s="11">
        <v>0.2802284106155306</v>
      </c>
      <c r="AF79" s="11">
        <v>0.32276277939686154</v>
      </c>
      <c r="AG79" s="11">
        <v>0.20899999999999996</v>
      </c>
      <c r="AH79" s="11">
        <v>0.23099999999999998</v>
      </c>
      <c r="AI79" s="11">
        <v>0.2440000000000001</v>
      </c>
      <c r="AJ79" s="11">
        <v>0.2889999999999999</v>
      </c>
      <c r="AK79" s="11">
        <v>0.24</v>
      </c>
      <c r="AL79" s="148"/>
      <c r="AM79" s="11">
        <v>0.32939371167888065</v>
      </c>
      <c r="AN79" s="11">
        <v>0.3579170199136322</v>
      </c>
      <c r="AO79" s="162">
        <v>-2.8523308234751523</v>
      </c>
      <c r="AP79" s="11"/>
      <c r="AQ79" s="148"/>
      <c r="AR79" s="11">
        <v>0.3407847230411405</v>
      </c>
      <c r="AS79" s="11">
        <v>0.3229651624166755</v>
      </c>
      <c r="AT79" s="11">
        <v>0.23621164439898412</v>
      </c>
      <c r="AU79" s="11">
        <v>0.2811889108403444</v>
      </c>
      <c r="AV79" s="11">
        <v>0.40799964833030156</v>
      </c>
      <c r="AW79" s="11">
        <v>0.28383722535640615</v>
      </c>
      <c r="AX79" s="11">
        <v>0.248</v>
      </c>
      <c r="AY79" s="35">
        <v>0.21100000000000008</v>
      </c>
      <c r="AZ79" s="35">
        <v>0.21699999999999997</v>
      </c>
      <c r="BA79" s="35">
        <v>0.20799999999999996</v>
      </c>
    </row>
    <row r="80" spans="1:53" ht="12.75" customHeight="1">
      <c r="A80" s="83"/>
      <c r="B80" s="145" t="s">
        <v>86</v>
      </c>
      <c r="C80" s="162">
        <v>-1.2829895150988313</v>
      </c>
      <c r="D80" s="11"/>
      <c r="E80" s="11"/>
      <c r="F80" s="11" t="e">
        <v>#DIV/0!</v>
      </c>
      <c r="G80" s="11">
        <v>0.8785715213522747</v>
      </c>
      <c r="H80" s="11">
        <v>0.9566899064951502</v>
      </c>
      <c r="I80" s="11">
        <v>0.932147988313901</v>
      </c>
      <c r="J80" s="11">
        <v>0.9197599680691468</v>
      </c>
      <c r="K80" s="11">
        <v>0.891401416503263</v>
      </c>
      <c r="L80" s="11">
        <v>0.9630812598138254</v>
      </c>
      <c r="M80" s="11">
        <v>1.1176752856061865</v>
      </c>
      <c r="N80" s="11">
        <v>0.9370427481259708</v>
      </c>
      <c r="O80" s="11">
        <v>0.892987308048604</v>
      </c>
      <c r="P80" s="11">
        <v>1.0251882845188285</v>
      </c>
      <c r="Q80" s="11">
        <v>0.8956146774062322</v>
      </c>
      <c r="R80" s="11">
        <v>0.7607140693471193</v>
      </c>
      <c r="S80" s="11">
        <v>0.7465173407002206</v>
      </c>
      <c r="T80" s="11">
        <v>0.8899018655591654</v>
      </c>
      <c r="U80" s="11">
        <v>0.8679542118393596</v>
      </c>
      <c r="V80" s="11">
        <v>0.9268163176905395</v>
      </c>
      <c r="W80" s="11">
        <v>0.8711871452738789</v>
      </c>
      <c r="X80" s="11">
        <v>0.9364736876131368</v>
      </c>
      <c r="Y80" s="11">
        <v>0.8826414162356416</v>
      </c>
      <c r="Z80" s="11">
        <v>0.9361938764065947</v>
      </c>
      <c r="AA80" s="11">
        <v>1.2448272698077718</v>
      </c>
      <c r="AB80" s="442">
        <v>1.044897996011874</v>
      </c>
      <c r="AC80" s="11">
        <v>0.8637642726451583</v>
      </c>
      <c r="AD80" s="11">
        <v>0.917641481811971</v>
      </c>
      <c r="AE80" s="11">
        <v>0.8443611811032211</v>
      </c>
      <c r="AF80" s="11">
        <v>0.8519094348173653</v>
      </c>
      <c r="AG80" s="11">
        <v>0.761</v>
      </c>
      <c r="AH80" s="11">
        <v>0.815</v>
      </c>
      <c r="AI80" s="11">
        <v>0.811</v>
      </c>
      <c r="AJ80" s="11">
        <v>0.838</v>
      </c>
      <c r="AK80" s="11">
        <v>0.81</v>
      </c>
      <c r="AL80" s="148"/>
      <c r="AM80" s="11">
        <v>0.91905515581151</v>
      </c>
      <c r="AN80" s="11">
        <v>0.9780040093170865</v>
      </c>
      <c r="AO80" s="162">
        <v>-5.894885350557654</v>
      </c>
      <c r="AP80" s="11"/>
      <c r="AQ80" s="148"/>
      <c r="AR80" s="11">
        <v>0.9620773231701044</v>
      </c>
      <c r="AS80" s="11">
        <v>0.932741905618453</v>
      </c>
      <c r="AT80" s="11">
        <v>0.800483057522669</v>
      </c>
      <c r="AU80" s="11">
        <v>0.9019266298089993</v>
      </c>
      <c r="AV80" s="11">
        <v>0.9915557406938359</v>
      </c>
      <c r="AW80" s="11">
        <v>0.8325065375871963</v>
      </c>
      <c r="AX80" s="11">
        <v>0.817</v>
      </c>
      <c r="AY80" s="35">
        <v>0.796</v>
      </c>
      <c r="AZ80" s="35">
        <v>0.832</v>
      </c>
      <c r="BA80" s="35">
        <v>0.844</v>
      </c>
    </row>
    <row r="81" spans="1:53" ht="12.75" customHeight="1">
      <c r="A81" s="83"/>
      <c r="B81" s="145" t="s">
        <v>87</v>
      </c>
      <c r="C81" s="162">
        <v>1.2829895150988355</v>
      </c>
      <c r="D81" s="11"/>
      <c r="E81" s="11"/>
      <c r="F81" s="11" t="e">
        <v>#DIV/0!</v>
      </c>
      <c r="G81" s="11">
        <v>0.12142847864772535</v>
      </c>
      <c r="H81" s="11">
        <v>0.043310093504849816</v>
      </c>
      <c r="I81" s="11">
        <v>0.06785201168609899</v>
      </c>
      <c r="J81" s="11">
        <v>0.08024003193085319</v>
      </c>
      <c r="K81" s="11">
        <v>0.108598583496737</v>
      </c>
      <c r="L81" s="11">
        <v>0.03691874018617463</v>
      </c>
      <c r="M81" s="11">
        <v>-0.11767528560618644</v>
      </c>
      <c r="N81" s="11">
        <v>0.06295725187402922</v>
      </c>
      <c r="O81" s="11">
        <v>0.10701269195139598</v>
      </c>
      <c r="P81" s="11">
        <v>-0.02518828451882845</v>
      </c>
      <c r="Q81" s="11">
        <v>0.1043853225937678</v>
      </c>
      <c r="R81" s="11">
        <v>0.2392859306528807</v>
      </c>
      <c r="S81" s="11">
        <v>0.2534826592997795</v>
      </c>
      <c r="T81" s="11">
        <v>0.11009813444083465</v>
      </c>
      <c r="U81" s="11">
        <v>0.13204578816064036</v>
      </c>
      <c r="V81" s="11">
        <v>0.07318368230946043</v>
      </c>
      <c r="W81" s="11">
        <v>0.1288128547261211</v>
      </c>
      <c r="X81" s="11">
        <v>0.0635263123868632</v>
      </c>
      <c r="Y81" s="11">
        <v>0.11635858376435841</v>
      </c>
      <c r="Z81" s="11">
        <v>0.06380612359340536</v>
      </c>
      <c r="AA81" s="11">
        <v>-0.24482726980777172</v>
      </c>
      <c r="AB81" s="187">
        <v>-0.04489799601187415</v>
      </c>
      <c r="AC81" s="11">
        <v>0.13623572735484168</v>
      </c>
      <c r="AD81" s="11">
        <v>0.08235851818802895</v>
      </c>
      <c r="AE81" s="11">
        <v>0.1556388188967789</v>
      </c>
      <c r="AF81" s="11">
        <v>0.14809056518263475</v>
      </c>
      <c r="AG81" s="11">
        <v>0.239</v>
      </c>
      <c r="AH81" s="11">
        <v>0.185</v>
      </c>
      <c r="AI81" s="11">
        <v>0.18899999999999995</v>
      </c>
      <c r="AJ81" s="11">
        <v>0.16200000000000003</v>
      </c>
      <c r="AK81" s="11">
        <v>0.19</v>
      </c>
      <c r="AL81" s="148"/>
      <c r="AM81" s="11">
        <v>0.08094484418849003</v>
      </c>
      <c r="AN81" s="11">
        <v>0.021995990682913438</v>
      </c>
      <c r="AO81" s="162">
        <v>5.894885350557659</v>
      </c>
      <c r="AP81" s="11"/>
      <c r="AQ81" s="148"/>
      <c r="AR81" s="11">
        <v>0.03792267682989555</v>
      </c>
      <c r="AS81" s="11">
        <v>0.06725809438154692</v>
      </c>
      <c r="AT81" s="11">
        <v>0.199516942477331</v>
      </c>
      <c r="AU81" s="11">
        <v>0.09807337019100075</v>
      </c>
      <c r="AV81" s="11">
        <v>0.008444259306164058</v>
      </c>
      <c r="AW81" s="11">
        <v>0.1674934624128037</v>
      </c>
      <c r="AX81" s="11">
        <v>0.18300000000000005</v>
      </c>
      <c r="AY81" s="35">
        <v>0.20399999999999996</v>
      </c>
      <c r="AZ81" s="35">
        <v>0.16800000000000004</v>
      </c>
      <c r="BA81" s="35">
        <v>0.15600000000000003</v>
      </c>
    </row>
    <row r="82" spans="1:53" ht="12.75" customHeight="1">
      <c r="A82" s="83"/>
      <c r="B82" s="146" t="s">
        <v>89</v>
      </c>
      <c r="C82" s="162">
        <v>0.2983160516475847</v>
      </c>
      <c r="D82" s="163"/>
      <c r="E82" s="41"/>
      <c r="F82" s="41" t="e">
        <v>#DIV/0!</v>
      </c>
      <c r="G82" s="41">
        <v>0.09190808758264454</v>
      </c>
      <c r="H82" s="41">
        <v>0.036736386152117224</v>
      </c>
      <c r="I82" s="41">
        <v>0.06307716136750859</v>
      </c>
      <c r="J82" s="41">
        <v>0.07147281060324538</v>
      </c>
      <c r="K82" s="41">
        <v>0.0889249270661687</v>
      </c>
      <c r="L82" s="41">
        <v>0.031656118199990355</v>
      </c>
      <c r="M82" s="41">
        <v>-0.10024669484278587</v>
      </c>
      <c r="N82" s="41">
        <v>0.011756297413502015</v>
      </c>
      <c r="O82" s="41">
        <v>0.07197289859286357</v>
      </c>
      <c r="P82" s="41">
        <v>-0.013933054393305439</v>
      </c>
      <c r="Q82" s="41">
        <v>0.08840114405162001</v>
      </c>
      <c r="R82" s="41">
        <v>0.17065368848320847</v>
      </c>
      <c r="S82" s="41">
        <v>0.17895571234607627</v>
      </c>
      <c r="T82" s="41">
        <v>0.08090565026626921</v>
      </c>
      <c r="U82" s="41">
        <v>0.0934158145566329</v>
      </c>
      <c r="V82" s="41">
        <v>0.07735462821292086</v>
      </c>
      <c r="W82" s="41">
        <v>0.08725901718851943</v>
      </c>
      <c r="X82" s="41">
        <v>0.054515774502198085</v>
      </c>
      <c r="Y82" s="41">
        <v>0.06628692811883925</v>
      </c>
      <c r="Z82" s="41">
        <v>0.035178885191969794</v>
      </c>
      <c r="AA82" s="41">
        <v>-0.1862871037298711</v>
      </c>
      <c r="AB82" s="187">
        <v>-0.048705663680083736</v>
      </c>
      <c r="AC82" s="11">
        <v>0.09529958079533085</v>
      </c>
      <c r="AD82" s="11">
        <v>0.050015476207074444</v>
      </c>
      <c r="AE82" s="11">
        <v>0.09725958528311354</v>
      </c>
      <c r="AF82" s="11">
        <v>0.0963683349174477</v>
      </c>
      <c r="AG82" s="11">
        <v>0.159</v>
      </c>
      <c r="AH82" s="11">
        <v>0.12</v>
      </c>
      <c r="AI82" s="11">
        <v>0.133</v>
      </c>
      <c r="AJ82" s="11">
        <v>0.114</v>
      </c>
      <c r="AK82" s="11">
        <v>0.126</v>
      </c>
      <c r="AL82" s="148"/>
      <c r="AM82" s="41">
        <v>0.0661201404498118</v>
      </c>
      <c r="AN82" s="41">
        <v>0.017378887371341842</v>
      </c>
      <c r="AO82" s="162">
        <v>4.874125307846996</v>
      </c>
      <c r="AP82" s="41"/>
      <c r="AQ82" s="148"/>
      <c r="AR82" s="41">
        <v>0.0321707342163433</v>
      </c>
      <c r="AS82" s="41">
        <v>0.041650685112686485</v>
      </c>
      <c r="AT82" s="41">
        <v>0.14201349910593294</v>
      </c>
      <c r="AU82" s="11">
        <v>0.07279706754718746</v>
      </c>
      <c r="AV82" s="11">
        <v>-0.0029661664444309544</v>
      </c>
      <c r="AW82" s="11">
        <v>0.10846502373762712</v>
      </c>
      <c r="AX82" s="11">
        <v>0.1232055425054894</v>
      </c>
      <c r="AY82" s="35">
        <v>0.139</v>
      </c>
      <c r="AZ82" s="35">
        <v>0.112</v>
      </c>
      <c r="BA82" s="35">
        <v>0.101</v>
      </c>
    </row>
    <row r="83" spans="1:53" ht="12.75" customHeight="1">
      <c r="A83" s="83"/>
      <c r="B83" s="83" t="s">
        <v>312</v>
      </c>
      <c r="C83" s="40">
        <v>-0.010000000000000009</v>
      </c>
      <c r="D83" s="41">
        <v>-0.05263157894736847</v>
      </c>
      <c r="E83" s="41"/>
      <c r="F83" s="33">
        <v>0</v>
      </c>
      <c r="G83" s="33">
        <v>0.18</v>
      </c>
      <c r="H83" s="33">
        <v>0.03</v>
      </c>
      <c r="I83" s="33">
        <v>0.1</v>
      </c>
      <c r="J83" s="33">
        <v>0.14</v>
      </c>
      <c r="K83" s="33">
        <v>0.19</v>
      </c>
      <c r="L83" s="33">
        <v>0.03</v>
      </c>
      <c r="M83" s="33">
        <v>-0.2</v>
      </c>
      <c r="N83" s="33">
        <v>0.02</v>
      </c>
      <c r="O83" s="33">
        <v>0.12</v>
      </c>
      <c r="P83" s="455">
        <v>-0.05</v>
      </c>
      <c r="Q83" s="33">
        <v>0.19</v>
      </c>
      <c r="R83" s="33">
        <v>0.56</v>
      </c>
      <c r="S83" s="33">
        <v>0.61</v>
      </c>
      <c r="T83" s="33">
        <v>0.16</v>
      </c>
      <c r="U83" s="33">
        <v>0.21</v>
      </c>
      <c r="V83" s="455">
        <v>0.22</v>
      </c>
      <c r="W83" s="455">
        <v>0.31</v>
      </c>
      <c r="X83" s="455">
        <v>0.14</v>
      </c>
      <c r="Y83" s="33">
        <v>0.19</v>
      </c>
      <c r="Z83" s="455">
        <v>0.08</v>
      </c>
      <c r="AA83" s="455">
        <v>-0.33</v>
      </c>
      <c r="AB83" s="455">
        <v>-0.11</v>
      </c>
      <c r="AC83" s="33">
        <v>0.35</v>
      </c>
      <c r="AD83" s="33">
        <v>0.16</v>
      </c>
      <c r="AE83" s="33">
        <v>0.4013</v>
      </c>
      <c r="AF83" s="33">
        <v>0.3404</v>
      </c>
      <c r="AG83" s="33">
        <v>0.86</v>
      </c>
      <c r="AH83" s="33">
        <v>0.57</v>
      </c>
      <c r="AI83" s="33">
        <v>0.51</v>
      </c>
      <c r="AJ83" s="33">
        <v>0.39</v>
      </c>
      <c r="AK83" s="33">
        <v>0.57</v>
      </c>
      <c r="AL83" s="148"/>
      <c r="AM83" s="1376">
        <v>0.32</v>
      </c>
      <c r="AN83" s="51">
        <v>0.02</v>
      </c>
      <c r="AO83" s="40">
        <v>0.3</v>
      </c>
      <c r="AP83" s="41" t="s">
        <v>44</v>
      </c>
      <c r="AQ83" s="148"/>
      <c r="AR83" s="455">
        <v>0.16</v>
      </c>
      <c r="AS83" s="455">
        <v>0.28</v>
      </c>
      <c r="AT83" s="455">
        <v>1.56</v>
      </c>
      <c r="AU83" s="32">
        <v>0.86</v>
      </c>
      <c r="AV83" s="32">
        <v>-0.03</v>
      </c>
      <c r="AW83" s="32">
        <v>1.77</v>
      </c>
      <c r="AX83" s="32">
        <v>2.03</v>
      </c>
      <c r="AY83" s="32">
        <v>1.82</v>
      </c>
      <c r="AZ83" s="32">
        <v>1.17</v>
      </c>
      <c r="BA83" s="32">
        <v>1.43</v>
      </c>
    </row>
    <row r="84" spans="1:53" ht="12.75" customHeight="1">
      <c r="A84" s="83"/>
      <c r="B84" s="83" t="s">
        <v>315</v>
      </c>
      <c r="C84" s="40">
        <v>0</v>
      </c>
      <c r="D84" s="41">
        <v>0</v>
      </c>
      <c r="E84" s="41"/>
      <c r="F84" s="33">
        <v>0</v>
      </c>
      <c r="G84" s="33">
        <v>0.17</v>
      </c>
      <c r="H84" s="33">
        <v>0.03</v>
      </c>
      <c r="I84" s="33">
        <v>0.09</v>
      </c>
      <c r="J84" s="33">
        <v>0.12</v>
      </c>
      <c r="K84" s="33">
        <v>0.17</v>
      </c>
      <c r="L84" s="33">
        <v>0.03</v>
      </c>
      <c r="M84" s="33">
        <v>-0.2</v>
      </c>
      <c r="N84" s="33">
        <v>0.02</v>
      </c>
      <c r="O84" s="33">
        <v>0.11</v>
      </c>
      <c r="P84" s="455">
        <v>-0.05</v>
      </c>
      <c r="Q84" s="33">
        <v>0.17</v>
      </c>
      <c r="R84" s="33">
        <v>0.5</v>
      </c>
      <c r="S84" s="33">
        <v>0.55</v>
      </c>
      <c r="T84" s="33">
        <v>0.15</v>
      </c>
      <c r="U84" s="33">
        <v>0.19</v>
      </c>
      <c r="V84" s="455">
        <v>0.21</v>
      </c>
      <c r="W84" s="455">
        <v>0.27</v>
      </c>
      <c r="X84" s="455">
        <v>0.12</v>
      </c>
      <c r="Y84" s="33">
        <v>0.16</v>
      </c>
      <c r="Z84" s="455">
        <v>0.07</v>
      </c>
      <c r="AA84" s="455">
        <v>-0.33</v>
      </c>
      <c r="AB84" s="455">
        <v>-0.11</v>
      </c>
      <c r="AC84" s="33">
        <v>0.31</v>
      </c>
      <c r="AD84" s="32">
        <v>0.15</v>
      </c>
      <c r="AE84" s="32">
        <v>0.359</v>
      </c>
      <c r="AF84" s="32">
        <v>0.3135</v>
      </c>
      <c r="AG84" s="32">
        <v>0.8</v>
      </c>
      <c r="AH84" s="32">
        <v>0.54</v>
      </c>
      <c r="AI84" s="32">
        <v>0.49</v>
      </c>
      <c r="AJ84" s="32">
        <v>0.37</v>
      </c>
      <c r="AK84" s="32">
        <v>0.54</v>
      </c>
      <c r="AL84" s="148"/>
      <c r="AM84" s="1376">
        <v>0.29</v>
      </c>
      <c r="AN84" s="51">
        <v>0.02</v>
      </c>
      <c r="AO84" s="40">
        <v>0.26999999999999996</v>
      </c>
      <c r="AP84" s="41" t="s">
        <v>44</v>
      </c>
      <c r="AQ84" s="148"/>
      <c r="AR84" s="455">
        <v>0.14</v>
      </c>
      <c r="AS84" s="455">
        <v>0.25</v>
      </c>
      <c r="AT84" s="455">
        <v>1.4</v>
      </c>
      <c r="AU84" s="32">
        <v>0.76</v>
      </c>
      <c r="AV84" s="32">
        <v>-0.03</v>
      </c>
      <c r="AW84" s="186">
        <v>1.63</v>
      </c>
      <c r="AX84" s="186">
        <v>1.94</v>
      </c>
      <c r="AY84" s="32">
        <v>1.74</v>
      </c>
      <c r="AZ84" s="32">
        <v>1.11</v>
      </c>
      <c r="BA84" s="32">
        <v>1.12</v>
      </c>
    </row>
    <row r="85" spans="1:53" ht="12.75" customHeight="1">
      <c r="A85" s="193"/>
      <c r="B85" s="7"/>
      <c r="C85" s="148"/>
      <c r="D85" s="148"/>
      <c r="E85" s="148"/>
      <c r="F85" s="148"/>
      <c r="G85" s="148"/>
      <c r="H85" s="7"/>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7"/>
      <c r="AH85" s="148"/>
      <c r="AI85" s="7"/>
      <c r="AJ85" s="7"/>
      <c r="AK85" s="148"/>
      <c r="AL85" s="148"/>
      <c r="AM85" s="148"/>
      <c r="AN85" s="148"/>
      <c r="AO85" s="148"/>
      <c r="AP85" s="148"/>
      <c r="AQ85" s="148"/>
      <c r="AR85" s="148"/>
      <c r="AS85" s="148"/>
      <c r="AT85" s="148"/>
      <c r="AU85" s="148"/>
      <c r="AV85" s="148"/>
      <c r="AW85" s="148"/>
      <c r="AX85" s="148"/>
      <c r="AY85" s="31"/>
      <c r="AZ85" s="31"/>
      <c r="BA85" s="83"/>
    </row>
    <row r="86" spans="1:51" ht="12.75">
      <c r="A86" s="7" t="s">
        <v>405</v>
      </c>
      <c r="B86" s="13"/>
      <c r="N86" s="729"/>
      <c r="AC86" s="31"/>
      <c r="AK86" s="31"/>
      <c r="AL86" s="3"/>
      <c r="AM86" s="3"/>
      <c r="AN86" s="3"/>
      <c r="AW86" s="31"/>
      <c r="AX86" s="31"/>
      <c r="AY86" s="107"/>
    </row>
    <row r="87" spans="29:51" ht="12.75">
      <c r="AC87" s="456"/>
      <c r="AK87" s="31"/>
      <c r="AL87" s="3"/>
      <c r="AM87" s="3"/>
      <c r="AN87" s="3"/>
      <c r="AW87" s="31"/>
      <c r="AX87" s="31"/>
      <c r="AY87" s="107"/>
    </row>
    <row r="88" spans="11:50" ht="12.75">
      <c r="K88" s="1300"/>
      <c r="L88" s="1300"/>
      <c r="M88" s="1300"/>
      <c r="N88" s="729"/>
      <c r="AC88" s="32"/>
      <c r="AK88" s="11"/>
      <c r="AL88" s="3"/>
      <c r="AM88" s="3"/>
      <c r="AN88" s="3"/>
      <c r="AS88" s="587"/>
      <c r="AW88" s="32"/>
      <c r="AX88" s="32"/>
    </row>
    <row r="89" spans="11:50" ht="12.75">
      <c r="K89" s="1300"/>
      <c r="L89" s="1300"/>
      <c r="M89" s="1300"/>
      <c r="N89" s="729"/>
      <c r="AC89" s="33"/>
      <c r="AK89" s="33"/>
      <c r="AL89" s="3"/>
      <c r="AM89" s="3"/>
      <c r="AN89" s="3"/>
      <c r="AW89" s="2"/>
      <c r="AX89" s="2"/>
    </row>
    <row r="90" spans="11:50" ht="12.75">
      <c r="K90" s="1300"/>
      <c r="L90" s="1300"/>
      <c r="M90" s="1300"/>
      <c r="N90" s="729"/>
      <c r="AC90" s="2"/>
      <c r="AK90" s="152"/>
      <c r="AL90" s="3"/>
      <c r="AM90" s="3"/>
      <c r="AN90" s="3"/>
      <c r="AW90" s="2"/>
      <c r="AX90" s="2"/>
    </row>
    <row r="91" spans="5:50" ht="12.75">
      <c r="E91"/>
      <c r="F91"/>
      <c r="G91"/>
      <c r="H91"/>
      <c r="I91"/>
      <c r="J91"/>
      <c r="K91" s="1300"/>
      <c r="L91" s="1300"/>
      <c r="M91" s="1300"/>
      <c r="N91" s="729"/>
      <c r="AC91" s="2"/>
      <c r="AD91" s="2"/>
      <c r="AG91" s="2"/>
      <c r="AI91" s="2"/>
      <c r="AJ91" s="2"/>
      <c r="AK91" s="2"/>
      <c r="AL91" s="3"/>
      <c r="AM91" s="3"/>
      <c r="AN91" s="3"/>
      <c r="AW91" s="51"/>
      <c r="AX91" s="51"/>
    </row>
    <row r="92" spans="5:51" ht="12.75">
      <c r="E92"/>
      <c r="F92"/>
      <c r="G92"/>
      <c r="H92"/>
      <c r="I92"/>
      <c r="J92"/>
      <c r="AC92" s="35"/>
      <c r="AD92" s="35"/>
      <c r="AE92" s="35"/>
      <c r="AF92" s="35"/>
      <c r="AG92" s="35"/>
      <c r="AH92" s="35"/>
      <c r="AI92" s="35"/>
      <c r="AJ92" s="35"/>
      <c r="AK92" s="35"/>
      <c r="AL92" s="3"/>
      <c r="AM92" s="3"/>
      <c r="AN92" s="3"/>
      <c r="AW92" s="36"/>
      <c r="AX92" s="36"/>
      <c r="AY92" s="104"/>
    </row>
    <row r="93" spans="5:51" ht="12.75">
      <c r="E93"/>
      <c r="F93"/>
      <c r="G93"/>
      <c r="H93"/>
      <c r="I93"/>
      <c r="J93"/>
      <c r="AC93" s="36"/>
      <c r="AD93" s="36"/>
      <c r="AE93" s="36"/>
      <c r="AF93" s="36"/>
      <c r="AG93" s="36"/>
      <c r="AH93" s="36"/>
      <c r="AI93" s="36"/>
      <c r="AJ93" s="36"/>
      <c r="AK93" s="36"/>
      <c r="AL93" s="3"/>
      <c r="AM93" s="3"/>
      <c r="AN93" s="3"/>
      <c r="AW93" s="36"/>
      <c r="AX93" s="36"/>
      <c r="AY93" s="104"/>
    </row>
    <row r="94" spans="5:51" ht="12.75">
      <c r="E94"/>
      <c r="F94"/>
      <c r="G94"/>
      <c r="H94"/>
      <c r="I94"/>
      <c r="J94"/>
      <c r="AC94" s="36"/>
      <c r="AD94" s="36"/>
      <c r="AE94" s="36"/>
      <c r="AF94" s="36"/>
      <c r="AG94" s="36"/>
      <c r="AH94" s="36"/>
      <c r="AI94" s="36"/>
      <c r="AJ94" s="36"/>
      <c r="AK94" s="36"/>
      <c r="AL94" s="3"/>
      <c r="AM94" s="3"/>
      <c r="AN94" s="3"/>
      <c r="AW94" s="3"/>
      <c r="AX94" s="3"/>
      <c r="AY94" s="104"/>
    </row>
    <row r="95" spans="5:51" ht="12.75">
      <c r="E95"/>
      <c r="F95"/>
      <c r="G95"/>
      <c r="H95"/>
      <c r="I95"/>
      <c r="J95"/>
      <c r="AC95" s="3"/>
      <c r="AD95" s="3"/>
      <c r="AE95" s="3"/>
      <c r="AF95" s="3"/>
      <c r="AG95" s="3"/>
      <c r="AH95" s="3"/>
      <c r="AI95" s="3"/>
      <c r="AJ95" s="3"/>
      <c r="AK95" s="3"/>
      <c r="AL95" s="3"/>
      <c r="AM95" s="3"/>
      <c r="AN95" s="3"/>
      <c r="AW95" s="3"/>
      <c r="AX95" s="3"/>
      <c r="AY95" s="104"/>
    </row>
    <row r="96" spans="5:50" ht="12.75">
      <c r="E96"/>
      <c r="F96"/>
      <c r="G96"/>
      <c r="H96"/>
      <c r="I96"/>
      <c r="J96"/>
      <c r="AC96" s="3"/>
      <c r="AD96" s="3"/>
      <c r="AE96" s="3"/>
      <c r="AF96" s="3"/>
      <c r="AG96" s="3"/>
      <c r="AH96" s="3"/>
      <c r="AI96" s="3"/>
      <c r="AJ96" s="3"/>
      <c r="AK96" s="3"/>
      <c r="AL96" s="3"/>
      <c r="AM96" s="3"/>
      <c r="AN96" s="3"/>
      <c r="AW96" s="3"/>
      <c r="AX96" s="3"/>
    </row>
    <row r="97" spans="5:50" ht="12.75">
      <c r="E97"/>
      <c r="F97"/>
      <c r="G97"/>
      <c r="H97"/>
      <c r="I97"/>
      <c r="J97"/>
      <c r="AC97" s="3"/>
      <c r="AD97" s="3"/>
      <c r="AE97" s="3"/>
      <c r="AF97" s="3"/>
      <c r="AG97" s="3"/>
      <c r="AH97" s="3"/>
      <c r="AI97" s="3"/>
      <c r="AJ97" s="3"/>
      <c r="AK97" s="3"/>
      <c r="AL97" s="3"/>
      <c r="AM97" s="3"/>
      <c r="AN97" s="3"/>
      <c r="AW97" s="3"/>
      <c r="AX97" s="3"/>
    </row>
    <row r="98" spans="5:50" ht="12.75">
      <c r="E98"/>
      <c r="F98"/>
      <c r="G98"/>
      <c r="H98"/>
      <c r="I98"/>
      <c r="J98"/>
      <c r="AC98" s="3"/>
      <c r="AD98" s="3"/>
      <c r="AE98" s="3"/>
      <c r="AF98" s="3"/>
      <c r="AG98" s="3"/>
      <c r="AH98" s="3"/>
      <c r="AI98" s="3"/>
      <c r="AJ98" s="3"/>
      <c r="AK98" s="3"/>
      <c r="AL98" s="3"/>
      <c r="AM98" s="3"/>
      <c r="AN98" s="3"/>
      <c r="AW98" s="3"/>
      <c r="AX98" s="3"/>
    </row>
    <row r="99" spans="5:40" ht="12.75">
      <c r="E99"/>
      <c r="F99"/>
      <c r="G99"/>
      <c r="H99"/>
      <c r="I99"/>
      <c r="J99"/>
      <c r="AC99" s="3"/>
      <c r="AD99" s="3"/>
      <c r="AE99" s="3"/>
      <c r="AF99" s="3"/>
      <c r="AG99" s="3"/>
      <c r="AH99" s="3"/>
      <c r="AI99" s="3"/>
      <c r="AJ99" s="3"/>
      <c r="AK99" s="3"/>
      <c r="AL99" s="3"/>
      <c r="AM99" s="3"/>
      <c r="AN99" s="3"/>
    </row>
  </sheetData>
  <sheetProtection/>
  <mergeCells count="6">
    <mergeCell ref="AO11:AP11"/>
    <mergeCell ref="AO71:AP71"/>
    <mergeCell ref="C71:D71"/>
    <mergeCell ref="C10:D10"/>
    <mergeCell ref="C11:D11"/>
    <mergeCell ref="C70:D70"/>
  </mergeCells>
  <conditionalFormatting sqref="AY79:BA82 A68:A69 A85 AY63:BA63 AV56:AW57 AV63:AW63 A63:B63 AY53:BA57 AS63:AT63 AU56:AU63 B53:B57 A53 A56:A57">
    <cfRule type="cellIs" priority="5" dxfId="0" operator="equal" stopIfTrue="1">
      <formula>0</formula>
    </cfRule>
  </conditionalFormatting>
  <conditionalFormatting sqref="AR6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0" r:id="rId2"/>
  <headerFooter alignWithMargins="0">
    <oddFooter>&amp;CPage 2</oddFooter>
  </headerFooter>
  <colBreaks count="1" manualBreakCount="1">
    <brk id="53"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BI110"/>
  <sheetViews>
    <sheetView workbookViewId="0" topLeftCell="A1">
      <selection activeCell="A1" sqref="A1"/>
    </sheetView>
  </sheetViews>
  <sheetFormatPr defaultColWidth="9.140625" defaultRowHeight="12.75"/>
  <cols>
    <col min="1" max="1" width="2.7109375" style="0" customWidth="1"/>
    <col min="2" max="2" width="44.00390625" style="0" customWidth="1"/>
    <col min="3" max="3" width="9.57421875" style="0" customWidth="1"/>
    <col min="4" max="4" width="9.7109375" style="0" customWidth="1"/>
    <col min="5" max="5" width="1.57421875" style="3" customWidth="1"/>
    <col min="6" max="6" width="9.57421875" style="3" hidden="1" customWidth="1"/>
    <col min="7" max="15" width="9.57421875" style="3" customWidth="1"/>
    <col min="16" max="25" width="9.57421875" style="3" hidden="1" customWidth="1"/>
    <col min="26" max="28" width="9.7109375" style="3" hidden="1" customWidth="1"/>
    <col min="29" max="37" width="9.7109375" style="0" hidden="1" customWidth="1"/>
    <col min="38" max="38" width="1.57421875" style="0" customWidth="1"/>
    <col min="39" max="42" width="10.00390625" style="0" customWidth="1"/>
    <col min="43" max="43" width="1.57421875" style="0" customWidth="1"/>
    <col min="44" max="48" width="9.7109375" style="0" customWidth="1"/>
    <col min="49" max="53" width="9.7109375" style="0" hidden="1" customWidth="1"/>
    <col min="54" max="54" width="1.57421875" style="0" customWidth="1"/>
  </cols>
  <sheetData>
    <row r="1" ht="6.75" customHeight="1"/>
    <row r="2" spans="9:39" ht="12.75">
      <c r="I2" s="457"/>
      <c r="M2" s="457"/>
      <c r="Q2" s="457"/>
      <c r="T2" s="457"/>
      <c r="U2" s="457"/>
      <c r="X2" s="457"/>
      <c r="Y2" s="457"/>
      <c r="AC2" s="3"/>
      <c r="AD2" s="3"/>
      <c r="AE2" s="3"/>
      <c r="AF2" s="3"/>
      <c r="AG2" s="3"/>
      <c r="AH2" s="3"/>
      <c r="AI2" s="3"/>
      <c r="AJ2" s="3"/>
      <c r="AK2" s="3"/>
      <c r="AL2" s="3"/>
      <c r="AM2" s="3"/>
    </row>
    <row r="3" spans="3:39" ht="12.75">
      <c r="C3" s="162"/>
      <c r="F3" s="595"/>
      <c r="G3" s="595"/>
      <c r="H3" s="892"/>
      <c r="I3" s="595"/>
      <c r="J3" s="595"/>
      <c r="K3" s="595"/>
      <c r="L3" s="892"/>
      <c r="M3" s="595"/>
      <c r="N3" s="595"/>
      <c r="O3" s="595"/>
      <c r="P3" s="595"/>
      <c r="Q3" s="595"/>
      <c r="AC3" s="3"/>
      <c r="AD3" s="3"/>
      <c r="AE3" s="3"/>
      <c r="AF3" s="3"/>
      <c r="AG3" s="3"/>
      <c r="AH3" s="3"/>
      <c r="AI3" s="3"/>
      <c r="AJ3" s="3"/>
      <c r="AK3" s="3"/>
      <c r="AL3" s="3"/>
      <c r="AM3" s="595"/>
    </row>
    <row r="4" spans="3:39" ht="12.75">
      <c r="C4" s="162"/>
      <c r="F4" s="595"/>
      <c r="G4" s="595"/>
      <c r="H4" s="148"/>
      <c r="I4" s="595"/>
      <c r="J4" s="595"/>
      <c r="K4" s="595"/>
      <c r="L4" s="148"/>
      <c r="M4" s="595"/>
      <c r="N4" s="595"/>
      <c r="O4" s="595"/>
      <c r="P4" s="595"/>
      <c r="Q4" s="836"/>
      <c r="R4" s="836"/>
      <c r="S4" s="728"/>
      <c r="AC4" s="3"/>
      <c r="AD4" s="3"/>
      <c r="AE4" s="3"/>
      <c r="AF4" s="3"/>
      <c r="AG4" s="3"/>
      <c r="AH4" s="3"/>
      <c r="AI4" s="3"/>
      <c r="AJ4" s="3"/>
      <c r="AK4" s="3"/>
      <c r="AL4" s="3"/>
      <c r="AM4" s="595"/>
    </row>
    <row r="5" spans="1:39" ht="8.25" customHeight="1">
      <c r="A5" s="3"/>
      <c r="B5" s="3"/>
      <c r="C5" s="162"/>
      <c r="D5" s="3"/>
      <c r="F5" s="595"/>
      <c r="G5" s="595"/>
      <c r="H5" s="148"/>
      <c r="I5" s="595"/>
      <c r="J5" s="595"/>
      <c r="K5" s="595"/>
      <c r="L5" s="148"/>
      <c r="M5" s="595"/>
      <c r="N5" s="595"/>
      <c r="O5" s="595"/>
      <c r="P5" s="595"/>
      <c r="Q5" s="836"/>
      <c r="R5" s="836"/>
      <c r="S5" s="728"/>
      <c r="AC5" s="3"/>
      <c r="AD5" s="3"/>
      <c r="AE5" s="3"/>
      <c r="AF5" s="3"/>
      <c r="AG5" s="3"/>
      <c r="AH5" s="3"/>
      <c r="AI5" s="3"/>
      <c r="AJ5" s="3"/>
      <c r="AK5" s="3"/>
      <c r="AL5" s="3"/>
      <c r="AM5" s="595"/>
    </row>
    <row r="6" spans="1:41" ht="18" customHeight="1">
      <c r="A6" s="134" t="s">
        <v>219</v>
      </c>
      <c r="B6" s="3"/>
      <c r="C6" s="162"/>
      <c r="D6" s="3"/>
      <c r="F6" s="595"/>
      <c r="G6" s="595"/>
      <c r="H6" s="148"/>
      <c r="I6" s="595"/>
      <c r="J6" s="595"/>
      <c r="K6" s="595"/>
      <c r="L6" s="1414"/>
      <c r="M6" s="595"/>
      <c r="N6" s="595"/>
      <c r="O6" s="595"/>
      <c r="Q6" s="836"/>
      <c r="R6" s="836"/>
      <c r="S6" s="728"/>
      <c r="AC6" s="3"/>
      <c r="AD6" s="3"/>
      <c r="AE6" s="3"/>
      <c r="AF6" s="3"/>
      <c r="AG6" s="3"/>
      <c r="AH6" s="3"/>
      <c r="AI6" s="3"/>
      <c r="AJ6" s="3"/>
      <c r="AK6" s="3"/>
      <c r="AL6" s="3"/>
      <c r="AM6" s="595"/>
      <c r="AN6" s="595"/>
      <c r="AO6" s="1414"/>
    </row>
    <row r="7" spans="1:41" ht="18" customHeight="1">
      <c r="A7" s="134" t="s">
        <v>493</v>
      </c>
      <c r="B7" s="3"/>
      <c r="C7" s="162"/>
      <c r="D7" s="3"/>
      <c r="F7" s="595"/>
      <c r="G7" s="595"/>
      <c r="H7" s="148"/>
      <c r="I7" s="595"/>
      <c r="J7" s="595"/>
      <c r="K7" s="595"/>
      <c r="L7" s="1414"/>
      <c r="M7" s="595"/>
      <c r="N7" s="595"/>
      <c r="O7" s="595"/>
      <c r="Q7" s="836"/>
      <c r="R7" s="836"/>
      <c r="S7" s="728"/>
      <c r="AC7" s="3"/>
      <c r="AD7" s="3"/>
      <c r="AE7" s="3"/>
      <c r="AF7" s="3"/>
      <c r="AG7" s="3"/>
      <c r="AH7" s="3"/>
      <c r="AI7" s="3"/>
      <c r="AJ7" s="3"/>
      <c r="AK7" s="3"/>
      <c r="AL7" s="3"/>
      <c r="AM7" s="595"/>
      <c r="AN7" s="595"/>
      <c r="AO7" s="1414"/>
    </row>
    <row r="8" spans="1:44" ht="18" customHeight="1">
      <c r="A8" s="166" t="s">
        <v>474</v>
      </c>
      <c r="B8" s="5"/>
      <c r="C8" s="442"/>
      <c r="D8" s="778"/>
      <c r="E8" s="5"/>
      <c r="F8" s="5"/>
      <c r="G8" s="729"/>
      <c r="H8" s="729"/>
      <c r="I8" s="729"/>
      <c r="J8" s="729"/>
      <c r="K8" s="729"/>
      <c r="L8" s="1414"/>
      <c r="M8" s="595"/>
      <c r="N8" s="595"/>
      <c r="O8" s="595"/>
      <c r="P8" s="5"/>
      <c r="Q8" s="837"/>
      <c r="R8" s="837"/>
      <c r="S8" s="728"/>
      <c r="T8" s="5"/>
      <c r="U8" s="5"/>
      <c r="V8" s="5"/>
      <c r="W8" s="5"/>
      <c r="X8" s="5"/>
      <c r="Y8" s="5"/>
      <c r="Z8" s="5"/>
      <c r="AA8" s="5"/>
      <c r="AB8" s="5"/>
      <c r="AC8" s="3"/>
      <c r="AD8" s="3"/>
      <c r="AE8" s="3"/>
      <c r="AF8" s="3"/>
      <c r="AG8" s="3"/>
      <c r="AH8" s="3"/>
      <c r="AI8" s="3"/>
      <c r="AJ8" s="3"/>
      <c r="AK8" s="3"/>
      <c r="AL8" s="3"/>
      <c r="AM8" s="595"/>
      <c r="AN8" s="595"/>
      <c r="AO8" s="1414"/>
      <c r="AR8" s="665"/>
    </row>
    <row r="9" spans="1:41" ht="15">
      <c r="A9" s="788" t="s">
        <v>339</v>
      </c>
      <c r="B9" s="5"/>
      <c r="C9" s="162"/>
      <c r="D9" s="5"/>
      <c r="E9" s="5"/>
      <c r="F9" s="791"/>
      <c r="G9" s="595"/>
      <c r="H9" s="791"/>
      <c r="I9" s="595"/>
      <c r="J9" s="791"/>
      <c r="K9" s="595"/>
      <c r="L9" s="1414"/>
      <c r="M9" s="595"/>
      <c r="N9" s="889"/>
      <c r="O9" s="889"/>
      <c r="P9" s="889"/>
      <c r="Q9" s="889"/>
      <c r="R9" s="889"/>
      <c r="S9" s="889"/>
      <c r="T9" s="889"/>
      <c r="U9" s="889"/>
      <c r="V9" s="889"/>
      <c r="W9" s="889"/>
      <c r="X9" s="889"/>
      <c r="Y9" s="889"/>
      <c r="Z9" s="889"/>
      <c r="AA9" s="889"/>
      <c r="AB9" s="889"/>
      <c r="AC9" s="728"/>
      <c r="AD9" s="728"/>
      <c r="AE9" s="728"/>
      <c r="AF9" s="326"/>
      <c r="AG9" s="326"/>
      <c r="AH9" s="326"/>
      <c r="AI9" s="326"/>
      <c r="AJ9" s="326"/>
      <c r="AK9" s="326"/>
      <c r="AL9" s="326"/>
      <c r="AM9" s="595"/>
      <c r="AN9" s="595"/>
      <c r="AO9" s="1414"/>
    </row>
    <row r="10" spans="1:41" ht="9.75" customHeight="1">
      <c r="A10" s="148"/>
      <c r="B10" s="5"/>
      <c r="C10" s="5"/>
      <c r="D10" s="5"/>
      <c r="E10" s="5"/>
      <c r="F10" s="889"/>
      <c r="G10" s="595"/>
      <c r="H10" s="889"/>
      <c r="I10" s="595"/>
      <c r="J10" s="889"/>
      <c r="K10" s="595"/>
      <c r="L10" s="1414"/>
      <c r="M10" s="889"/>
      <c r="N10" s="889"/>
      <c r="O10" s="889"/>
      <c r="P10" s="889"/>
      <c r="Q10" s="889"/>
      <c r="R10" s="889"/>
      <c r="S10" s="889"/>
      <c r="T10" s="889"/>
      <c r="U10" s="889"/>
      <c r="V10" s="889"/>
      <c r="W10" s="889"/>
      <c r="X10" s="889"/>
      <c r="Y10" s="889"/>
      <c r="Z10" s="889"/>
      <c r="AA10" s="889"/>
      <c r="AB10" s="889"/>
      <c r="AC10" s="728"/>
      <c r="AD10" s="728"/>
      <c r="AE10" s="728"/>
      <c r="AF10" s="326"/>
      <c r="AG10" s="326"/>
      <c r="AH10" s="326"/>
      <c r="AI10" s="326"/>
      <c r="AJ10" s="326"/>
      <c r="AK10" s="326"/>
      <c r="AL10" s="326"/>
      <c r="AM10" s="595"/>
      <c r="AN10" s="595"/>
      <c r="AO10" s="1414"/>
    </row>
    <row r="11" spans="1:42" ht="12" customHeight="1">
      <c r="A11" s="6" t="s">
        <v>1</v>
      </c>
      <c r="B11" s="2"/>
      <c r="C11" s="2"/>
      <c r="D11" s="2"/>
      <c r="E11" s="2"/>
      <c r="F11" s="2"/>
      <c r="G11" s="2"/>
      <c r="H11" s="2"/>
      <c r="I11" s="2"/>
      <c r="J11" s="2"/>
      <c r="K11" s="2"/>
      <c r="L11" s="2"/>
      <c r="M11" s="2"/>
      <c r="N11" s="491"/>
      <c r="O11" s="2"/>
      <c r="P11" s="2"/>
      <c r="Q11" s="2"/>
      <c r="R11" s="491"/>
      <c r="S11" s="2"/>
      <c r="T11" s="491"/>
      <c r="U11" s="2"/>
      <c r="V11" s="491"/>
      <c r="W11" s="2"/>
      <c r="X11" s="491"/>
      <c r="Y11" s="2"/>
      <c r="Z11" s="491"/>
      <c r="AA11" s="2"/>
      <c r="AB11" s="2"/>
      <c r="AC11" s="3"/>
      <c r="AD11" s="3"/>
      <c r="AE11" s="3"/>
      <c r="AO11" s="626"/>
      <c r="AP11" s="626"/>
    </row>
    <row r="12" spans="1:54" ht="13.5">
      <c r="A12" s="6" t="s">
        <v>2</v>
      </c>
      <c r="B12" s="7"/>
      <c r="C12" s="1437" t="s">
        <v>497</v>
      </c>
      <c r="D12" s="1438"/>
      <c r="E12" s="259"/>
      <c r="F12" s="477"/>
      <c r="G12" s="477"/>
      <c r="H12" s="477"/>
      <c r="I12" s="19"/>
      <c r="J12" s="477"/>
      <c r="K12" s="477"/>
      <c r="L12" s="477"/>
      <c r="M12" s="19"/>
      <c r="N12" s="17"/>
      <c r="O12" s="18"/>
      <c r="P12" s="477"/>
      <c r="Q12" s="19"/>
      <c r="R12" s="17"/>
      <c r="S12" s="18"/>
      <c r="T12" s="477"/>
      <c r="U12" s="19"/>
      <c r="W12" s="18"/>
      <c r="X12" s="2"/>
      <c r="Y12" s="19"/>
      <c r="Z12" s="18"/>
      <c r="AB12" s="477"/>
      <c r="AC12" s="19"/>
      <c r="AD12" s="18"/>
      <c r="AE12" s="18"/>
      <c r="AF12" s="18"/>
      <c r="AG12" s="18"/>
      <c r="AH12" s="22"/>
      <c r="AI12" s="19"/>
      <c r="AJ12" s="19"/>
      <c r="AK12" s="19"/>
      <c r="AL12" s="24"/>
      <c r="AM12" s="725" t="s">
        <v>406</v>
      </c>
      <c r="AN12" s="711"/>
      <c r="AO12" s="711" t="s">
        <v>480</v>
      </c>
      <c r="AP12" s="712"/>
      <c r="AQ12" s="15"/>
      <c r="AR12" s="88"/>
      <c r="AS12" s="88"/>
      <c r="AT12" s="88"/>
      <c r="AU12" s="88"/>
      <c r="AV12" s="88"/>
      <c r="AW12" s="17"/>
      <c r="AX12" s="22"/>
      <c r="AY12" s="88"/>
      <c r="AZ12" s="350"/>
      <c r="BA12" s="756"/>
      <c r="BB12" s="25"/>
    </row>
    <row r="13" spans="2:61" ht="12.75">
      <c r="B13" s="7"/>
      <c r="C13" s="1439" t="s">
        <v>41</v>
      </c>
      <c r="D13" s="1440"/>
      <c r="E13" s="603"/>
      <c r="F13" s="21" t="s">
        <v>431</v>
      </c>
      <c r="G13" s="21" t="s">
        <v>430</v>
      </c>
      <c r="H13" s="21" t="s">
        <v>429</v>
      </c>
      <c r="I13" s="14" t="s">
        <v>427</v>
      </c>
      <c r="J13" s="21" t="s">
        <v>362</v>
      </c>
      <c r="K13" s="21" t="s">
        <v>363</v>
      </c>
      <c r="L13" s="21" t="s">
        <v>364</v>
      </c>
      <c r="M13" s="14" t="s">
        <v>365</v>
      </c>
      <c r="N13" s="20" t="s">
        <v>277</v>
      </c>
      <c r="O13" s="21" t="s">
        <v>278</v>
      </c>
      <c r="P13" s="21" t="s">
        <v>279</v>
      </c>
      <c r="Q13" s="14" t="s">
        <v>276</v>
      </c>
      <c r="R13" s="20" t="s">
        <v>222</v>
      </c>
      <c r="S13" s="21" t="s">
        <v>223</v>
      </c>
      <c r="T13" s="21" t="s">
        <v>224</v>
      </c>
      <c r="U13" s="14" t="s">
        <v>225</v>
      </c>
      <c r="V13" s="21" t="s">
        <v>141</v>
      </c>
      <c r="W13" s="21" t="s">
        <v>140</v>
      </c>
      <c r="X13" s="21" t="s">
        <v>139</v>
      </c>
      <c r="Y13" s="14" t="s">
        <v>138</v>
      </c>
      <c r="Z13" s="21" t="s">
        <v>91</v>
      </c>
      <c r="AA13" s="21" t="s">
        <v>92</v>
      </c>
      <c r="AB13" s="21" t="s">
        <v>93</v>
      </c>
      <c r="AC13" s="14" t="s">
        <v>32</v>
      </c>
      <c r="AD13" s="21" t="s">
        <v>33</v>
      </c>
      <c r="AE13" s="21" t="s">
        <v>34</v>
      </c>
      <c r="AF13" s="21" t="s">
        <v>35</v>
      </c>
      <c r="AG13" s="21" t="s">
        <v>36</v>
      </c>
      <c r="AH13" s="23" t="s">
        <v>37</v>
      </c>
      <c r="AI13" s="14" t="s">
        <v>38</v>
      </c>
      <c r="AJ13" s="14" t="s">
        <v>39</v>
      </c>
      <c r="AK13" s="14" t="s">
        <v>40</v>
      </c>
      <c r="AL13" s="259"/>
      <c r="AM13" s="21" t="s">
        <v>430</v>
      </c>
      <c r="AN13" s="21" t="s">
        <v>363</v>
      </c>
      <c r="AO13" s="1435" t="s">
        <v>41</v>
      </c>
      <c r="AP13" s="1436"/>
      <c r="AQ13" s="16"/>
      <c r="AR13" s="20" t="s">
        <v>367</v>
      </c>
      <c r="AS13" s="20" t="s">
        <v>285</v>
      </c>
      <c r="AT13" s="20" t="s">
        <v>143</v>
      </c>
      <c r="AU13" s="20" t="s">
        <v>142</v>
      </c>
      <c r="AV13" s="20" t="s">
        <v>45</v>
      </c>
      <c r="AW13" s="20" t="s">
        <v>42</v>
      </c>
      <c r="AX13" s="23" t="s">
        <v>43</v>
      </c>
      <c r="AY13" s="23" t="s">
        <v>165</v>
      </c>
      <c r="AZ13" s="23" t="s">
        <v>166</v>
      </c>
      <c r="BA13" s="20" t="s">
        <v>167</v>
      </c>
      <c r="BB13" s="25"/>
      <c r="BC13" s="3"/>
      <c r="BD13" s="3"/>
      <c r="BE13" s="3"/>
      <c r="BF13" s="3"/>
      <c r="BG13" s="3"/>
      <c r="BH13" s="3"/>
      <c r="BI13" s="3"/>
    </row>
    <row r="14" spans="1:59" ht="12.75" customHeight="1">
      <c r="A14" s="142" t="s">
        <v>68</v>
      </c>
      <c r="B14" s="8"/>
      <c r="C14" s="164"/>
      <c r="D14" s="165"/>
      <c r="E14" s="89"/>
      <c r="F14" s="697" t="s">
        <v>307</v>
      </c>
      <c r="G14" s="697" t="s">
        <v>307</v>
      </c>
      <c r="H14" s="697" t="s">
        <v>307</v>
      </c>
      <c r="I14" s="698" t="s">
        <v>307</v>
      </c>
      <c r="J14" s="697" t="s">
        <v>307</v>
      </c>
      <c r="K14" s="697" t="s">
        <v>307</v>
      </c>
      <c r="L14" s="697" t="s">
        <v>307</v>
      </c>
      <c r="M14" s="698" t="s">
        <v>307</v>
      </c>
      <c r="N14" s="696" t="s">
        <v>307</v>
      </c>
      <c r="O14" s="697" t="s">
        <v>307</v>
      </c>
      <c r="P14" s="697" t="s">
        <v>307</v>
      </c>
      <c r="Q14" s="698" t="s">
        <v>307</v>
      </c>
      <c r="R14" s="696" t="s">
        <v>307</v>
      </c>
      <c r="S14" s="697" t="s">
        <v>307</v>
      </c>
      <c r="T14" s="697" t="s">
        <v>307</v>
      </c>
      <c r="U14" s="698" t="s">
        <v>307</v>
      </c>
      <c r="V14" s="696" t="s">
        <v>308</v>
      </c>
      <c r="W14" s="697" t="s">
        <v>308</v>
      </c>
      <c r="X14" s="697" t="s">
        <v>308</v>
      </c>
      <c r="Y14" s="698" t="s">
        <v>308</v>
      </c>
      <c r="Z14" s="15"/>
      <c r="AA14" s="15"/>
      <c r="AB14" s="15"/>
      <c r="AC14" s="233"/>
      <c r="AD14" s="15"/>
      <c r="AE14" s="15"/>
      <c r="AF14" s="15"/>
      <c r="AG14" s="15"/>
      <c r="AH14" s="259"/>
      <c r="AI14" s="233"/>
      <c r="AJ14" s="233"/>
      <c r="AK14" s="233"/>
      <c r="AL14" s="259"/>
      <c r="AM14" s="696" t="s">
        <v>307</v>
      </c>
      <c r="AN14" s="697" t="s">
        <v>307</v>
      </c>
      <c r="AO14" s="713"/>
      <c r="AP14" s="714"/>
      <c r="AQ14" s="16"/>
      <c r="AR14" s="696" t="s">
        <v>307</v>
      </c>
      <c r="AS14" s="696" t="s">
        <v>307</v>
      </c>
      <c r="AT14" s="696" t="s">
        <v>307</v>
      </c>
      <c r="AU14" s="696" t="s">
        <v>308</v>
      </c>
      <c r="AV14" s="696" t="s">
        <v>308</v>
      </c>
      <c r="AW14" s="696" t="s">
        <v>308</v>
      </c>
      <c r="AX14" s="699" t="s">
        <v>308</v>
      </c>
      <c r="AY14" s="361"/>
      <c r="AZ14" s="361"/>
      <c r="BA14" s="758"/>
      <c r="BB14" s="25"/>
      <c r="BC14" s="3"/>
      <c r="BD14" s="3"/>
      <c r="BE14" s="3"/>
      <c r="BF14" s="3"/>
      <c r="BG14" s="3"/>
    </row>
    <row r="15" spans="1:59" ht="12.75" customHeight="1">
      <c r="A15" s="7"/>
      <c r="B15" s="166" t="s">
        <v>94</v>
      </c>
      <c r="C15" s="38"/>
      <c r="D15" s="30"/>
      <c r="E15" s="592"/>
      <c r="F15" s="41"/>
      <c r="G15" s="41"/>
      <c r="H15" s="41"/>
      <c r="I15" s="216"/>
      <c r="J15" s="41"/>
      <c r="K15" s="41"/>
      <c r="L15" s="41"/>
      <c r="M15" s="216"/>
      <c r="N15" s="41"/>
      <c r="O15" s="41"/>
      <c r="P15" s="41"/>
      <c r="Q15" s="216"/>
      <c r="R15" s="41"/>
      <c r="S15" s="41"/>
      <c r="T15" s="41"/>
      <c r="U15" s="216"/>
      <c r="V15" s="41"/>
      <c r="W15" s="41"/>
      <c r="X15" s="41"/>
      <c r="Y15" s="216"/>
      <c r="Z15" s="41"/>
      <c r="AA15" s="41"/>
      <c r="AB15" s="41"/>
      <c r="AC15" s="216"/>
      <c r="AD15" s="213"/>
      <c r="AE15" s="167"/>
      <c r="AF15" s="167"/>
      <c r="AG15" s="168"/>
      <c r="AH15" s="175"/>
      <c r="AI15" s="168"/>
      <c r="AJ15" s="168"/>
      <c r="AK15" s="168"/>
      <c r="AL15" s="89"/>
      <c r="AM15" s="148"/>
      <c r="AN15" s="148"/>
      <c r="AO15" s="31"/>
      <c r="AP15" s="30"/>
      <c r="AQ15" s="83"/>
      <c r="AR15" s="201"/>
      <c r="AS15" s="201"/>
      <c r="AT15" s="201"/>
      <c r="AU15" s="201"/>
      <c r="AV15" s="201"/>
      <c r="AW15" s="201"/>
      <c r="AX15" s="201"/>
      <c r="AY15" s="362"/>
      <c r="AZ15" s="362"/>
      <c r="BA15" s="759"/>
      <c r="BB15" s="25"/>
      <c r="BC15" s="3"/>
      <c r="BD15" s="3"/>
      <c r="BE15" s="3"/>
      <c r="BF15" s="3"/>
      <c r="BG15" s="3"/>
    </row>
    <row r="16" spans="1:59" ht="12.75" customHeight="1">
      <c r="A16" s="7"/>
      <c r="B16" s="200" t="s">
        <v>95</v>
      </c>
      <c r="C16" s="38">
        <v>-34363</v>
      </c>
      <c r="D16" s="30">
        <v>-0.4842246177693229</v>
      </c>
      <c r="E16" s="592"/>
      <c r="F16" s="465"/>
      <c r="G16" s="465">
        <v>36602</v>
      </c>
      <c r="H16" s="465">
        <v>27456</v>
      </c>
      <c r="I16" s="216">
        <v>29008</v>
      </c>
      <c r="J16" s="465">
        <v>52412</v>
      </c>
      <c r="K16" s="465">
        <v>70965</v>
      </c>
      <c r="L16" s="465">
        <v>31432</v>
      </c>
      <c r="M16" s="216">
        <v>30276</v>
      </c>
      <c r="N16" s="465">
        <v>62753</v>
      </c>
      <c r="O16" s="465">
        <v>50641</v>
      </c>
      <c r="P16" s="465">
        <v>39671</v>
      </c>
      <c r="Q16" s="216">
        <v>56027</v>
      </c>
      <c r="R16" s="465">
        <v>88632</v>
      </c>
      <c r="S16" s="465">
        <v>109404</v>
      </c>
      <c r="T16" s="465">
        <v>49909</v>
      </c>
      <c r="U16" s="216">
        <v>53057</v>
      </c>
      <c r="V16" s="465">
        <v>32806</v>
      </c>
      <c r="W16" s="465">
        <v>58040</v>
      </c>
      <c r="X16" s="465">
        <v>27314</v>
      </c>
      <c r="Y16" s="216">
        <v>30054</v>
      </c>
      <c r="Z16" s="465">
        <v>25033</v>
      </c>
      <c r="AA16" s="465">
        <v>12639</v>
      </c>
      <c r="AB16" s="465">
        <v>23461</v>
      </c>
      <c r="AC16" s="216">
        <v>34352</v>
      </c>
      <c r="AD16" s="212">
        <v>31944</v>
      </c>
      <c r="AE16" s="212">
        <v>42952</v>
      </c>
      <c r="AF16" s="212">
        <v>39210</v>
      </c>
      <c r="AG16" s="212">
        <v>62549</v>
      </c>
      <c r="AH16" s="174">
        <v>57382</v>
      </c>
      <c r="AI16" s="216">
        <v>48897</v>
      </c>
      <c r="AJ16" s="216">
        <v>38533</v>
      </c>
      <c r="AK16" s="216">
        <v>42750</v>
      </c>
      <c r="AL16" s="89"/>
      <c r="AM16" s="610">
        <v>93066</v>
      </c>
      <c r="AN16" s="610">
        <v>132673</v>
      </c>
      <c r="AO16" s="31">
        <v>-39607</v>
      </c>
      <c r="AP16" s="30">
        <v>-0.2985309746519639</v>
      </c>
      <c r="AQ16" s="83"/>
      <c r="AR16" s="201">
        <v>185085</v>
      </c>
      <c r="AS16" s="201">
        <v>209092</v>
      </c>
      <c r="AT16" s="201">
        <v>301002</v>
      </c>
      <c r="AU16" s="201">
        <v>148214</v>
      </c>
      <c r="AV16" s="201">
        <v>95485</v>
      </c>
      <c r="AW16" s="201">
        <v>176655</v>
      </c>
      <c r="AX16" s="201">
        <v>187562</v>
      </c>
      <c r="AY16" s="43">
        <v>150470</v>
      </c>
      <c r="AZ16" s="43">
        <v>95559</v>
      </c>
      <c r="BA16" s="38">
        <v>88821</v>
      </c>
      <c r="BB16" s="25"/>
      <c r="BD16" s="3"/>
      <c r="BE16" s="3"/>
      <c r="BF16" s="3"/>
      <c r="BG16" s="3"/>
    </row>
    <row r="17" spans="1:59" ht="12.75">
      <c r="A17" s="7"/>
      <c r="B17" s="200" t="s">
        <v>96</v>
      </c>
      <c r="C17" s="38">
        <v>-170</v>
      </c>
      <c r="D17" s="30">
        <v>-0.14061207609594706</v>
      </c>
      <c r="E17" s="592"/>
      <c r="F17" s="465"/>
      <c r="G17" s="465">
        <v>1039</v>
      </c>
      <c r="H17" s="465">
        <v>679</v>
      </c>
      <c r="I17" s="216">
        <v>936</v>
      </c>
      <c r="J17" s="465">
        <v>1000</v>
      </c>
      <c r="K17" s="465">
        <v>1209</v>
      </c>
      <c r="L17" s="465">
        <v>1260</v>
      </c>
      <c r="M17" s="216">
        <v>1406</v>
      </c>
      <c r="N17" s="465">
        <v>2220</v>
      </c>
      <c r="O17" s="465">
        <v>2820</v>
      </c>
      <c r="P17" s="465">
        <v>2815</v>
      </c>
      <c r="Q17" s="216">
        <v>2818</v>
      </c>
      <c r="R17" s="465">
        <v>5985</v>
      </c>
      <c r="S17" s="465">
        <v>6339</v>
      </c>
      <c r="T17" s="465">
        <v>3714</v>
      </c>
      <c r="U17" s="216">
        <v>2600</v>
      </c>
      <c r="V17" s="465">
        <v>2655</v>
      </c>
      <c r="W17" s="465">
        <v>3235</v>
      </c>
      <c r="X17" s="465">
        <v>2854</v>
      </c>
      <c r="Y17" s="216">
        <v>2817</v>
      </c>
      <c r="Z17" s="465">
        <v>2825</v>
      </c>
      <c r="AA17" s="465">
        <v>3975</v>
      </c>
      <c r="AB17" s="465">
        <v>3439</v>
      </c>
      <c r="AC17" s="216">
        <v>4365</v>
      </c>
      <c r="AD17" s="212">
        <v>4034</v>
      </c>
      <c r="AE17" s="212">
        <v>4912</v>
      </c>
      <c r="AF17" s="212">
        <v>4789</v>
      </c>
      <c r="AG17" s="212">
        <v>5987</v>
      </c>
      <c r="AH17" s="174">
        <v>6777</v>
      </c>
      <c r="AI17" s="216">
        <v>5923</v>
      </c>
      <c r="AJ17" s="216">
        <v>4091</v>
      </c>
      <c r="AK17" s="216">
        <v>7386</v>
      </c>
      <c r="AL17" s="89"/>
      <c r="AM17" s="610">
        <v>2654</v>
      </c>
      <c r="AN17" s="610">
        <v>3875</v>
      </c>
      <c r="AO17" s="31">
        <v>-1221</v>
      </c>
      <c r="AP17" s="30">
        <v>-0.31509677419354837</v>
      </c>
      <c r="AQ17" s="83"/>
      <c r="AR17" s="201">
        <v>4875</v>
      </c>
      <c r="AS17" s="201">
        <v>10673</v>
      </c>
      <c r="AT17" s="201">
        <v>19244</v>
      </c>
      <c r="AU17" s="201">
        <v>17417</v>
      </c>
      <c r="AV17" s="201">
        <v>20929</v>
      </c>
      <c r="AW17" s="201">
        <v>27090</v>
      </c>
      <c r="AX17" s="201">
        <v>24177</v>
      </c>
      <c r="AY17" s="43">
        <v>20940</v>
      </c>
      <c r="AZ17" s="43">
        <v>15452</v>
      </c>
      <c r="BA17" s="43">
        <v>16800</v>
      </c>
      <c r="BB17" s="3"/>
      <c r="BD17" s="3"/>
      <c r="BE17" s="3"/>
      <c r="BF17" s="3"/>
      <c r="BG17" s="3"/>
    </row>
    <row r="18" spans="1:59" ht="12.75" customHeight="1" hidden="1">
      <c r="A18" s="7"/>
      <c r="B18" s="200" t="s">
        <v>97</v>
      </c>
      <c r="C18" s="38">
        <v>0</v>
      </c>
      <c r="D18" s="30" t="e">
        <v>#DIV/0!</v>
      </c>
      <c r="E18" s="592"/>
      <c r="F18" s="849"/>
      <c r="G18" s="849"/>
      <c r="H18" s="849"/>
      <c r="I18" s="28"/>
      <c r="J18" s="849"/>
      <c r="K18" s="849"/>
      <c r="L18" s="849">
        <v>0</v>
      </c>
      <c r="M18" s="28">
        <v>0</v>
      </c>
      <c r="N18" s="465"/>
      <c r="O18" s="465"/>
      <c r="P18" s="465"/>
      <c r="Q18" s="216"/>
      <c r="R18" s="465"/>
      <c r="S18" s="465"/>
      <c r="T18" s="465"/>
      <c r="U18" s="216">
        <v>606</v>
      </c>
      <c r="V18" s="465">
        <v>1058</v>
      </c>
      <c r="W18" s="465">
        <v>1114</v>
      </c>
      <c r="X18" s="465">
        <v>1782</v>
      </c>
      <c r="Y18" s="216">
        <v>1902</v>
      </c>
      <c r="Z18" s="465">
        <v>1777</v>
      </c>
      <c r="AA18" s="465">
        <v>2298</v>
      </c>
      <c r="AB18" s="465">
        <v>635</v>
      </c>
      <c r="AC18" s="216">
        <v>1615</v>
      </c>
      <c r="AD18" s="212">
        <v>1713</v>
      </c>
      <c r="AE18" s="212">
        <v>1715</v>
      </c>
      <c r="AF18" s="212">
        <v>2210</v>
      </c>
      <c r="AG18" s="212">
        <v>1730</v>
      </c>
      <c r="AH18" s="174">
        <v>2607</v>
      </c>
      <c r="AI18" s="216">
        <v>2366</v>
      </c>
      <c r="AJ18" s="216">
        <v>1281</v>
      </c>
      <c r="AK18" s="216">
        <v>1624</v>
      </c>
      <c r="AL18" s="89"/>
      <c r="AM18" s="850">
        <v>0</v>
      </c>
      <c r="AN18" s="610">
        <v>0</v>
      </c>
      <c r="AO18" s="31">
        <v>0</v>
      </c>
      <c r="AP18" s="30" t="e">
        <v>#DIV/0!</v>
      </c>
      <c r="AQ18" s="83"/>
      <c r="AR18" s="201">
        <v>0</v>
      </c>
      <c r="AS18" s="201"/>
      <c r="AT18" s="201"/>
      <c r="AU18" s="201"/>
      <c r="AV18" s="201"/>
      <c r="AW18" s="201"/>
      <c r="AX18" s="201">
        <v>7878</v>
      </c>
      <c r="AY18" s="43">
        <v>9124</v>
      </c>
      <c r="AZ18" s="43">
        <v>4275</v>
      </c>
      <c r="BA18" s="43">
        <v>11493</v>
      </c>
      <c r="BB18" s="3"/>
      <c r="BD18" s="3"/>
      <c r="BE18" s="3"/>
      <c r="BF18" s="3"/>
      <c r="BG18" s="3"/>
    </row>
    <row r="19" spans="1:59" ht="12.75" customHeight="1">
      <c r="A19" s="7"/>
      <c r="B19" s="200" t="s">
        <v>98</v>
      </c>
      <c r="C19" s="471">
        <v>-638</v>
      </c>
      <c r="D19" s="149">
        <v>-0.14906542056074767</v>
      </c>
      <c r="E19" s="592"/>
      <c r="F19" s="465"/>
      <c r="G19" s="465">
        <v>3642</v>
      </c>
      <c r="H19" s="465">
        <v>3129</v>
      </c>
      <c r="I19" s="219">
        <v>2966</v>
      </c>
      <c r="J19" s="465">
        <v>3402</v>
      </c>
      <c r="K19" s="465">
        <v>4280</v>
      </c>
      <c r="L19" s="465">
        <v>2753</v>
      </c>
      <c r="M19" s="219">
        <v>3942</v>
      </c>
      <c r="N19" s="475">
        <v>6033</v>
      </c>
      <c r="O19" s="465">
        <v>3481</v>
      </c>
      <c r="P19" s="465">
        <v>5</v>
      </c>
      <c r="Q19" s="219">
        <v>3022</v>
      </c>
      <c r="R19" s="475">
        <v>6284</v>
      </c>
      <c r="S19" s="465">
        <v>5642</v>
      </c>
      <c r="T19" s="475">
        <v>4558</v>
      </c>
      <c r="U19" s="219">
        <v>1790</v>
      </c>
      <c r="V19" s="475">
        <v>2770</v>
      </c>
      <c r="W19" s="465">
        <v>4963</v>
      </c>
      <c r="X19" s="475">
        <v>2513</v>
      </c>
      <c r="Y19" s="219">
        <v>1704</v>
      </c>
      <c r="Z19" s="465">
        <v>1641</v>
      </c>
      <c r="AA19" s="465">
        <v>1517</v>
      </c>
      <c r="AB19" s="465">
        <v>1575</v>
      </c>
      <c r="AC19" s="216">
        <v>1703</v>
      </c>
      <c r="AD19" s="218">
        <v>2042</v>
      </c>
      <c r="AE19" s="218">
        <v>2499</v>
      </c>
      <c r="AF19" s="218">
        <v>2178</v>
      </c>
      <c r="AG19" s="218">
        <v>2121</v>
      </c>
      <c r="AH19" s="211">
        <v>1715</v>
      </c>
      <c r="AI19" s="219">
        <v>1595</v>
      </c>
      <c r="AJ19" s="219">
        <v>2568</v>
      </c>
      <c r="AK19" s="219">
        <v>1829</v>
      </c>
      <c r="AL19" s="89"/>
      <c r="AM19" s="611">
        <v>9737</v>
      </c>
      <c r="AN19" s="611">
        <v>10975</v>
      </c>
      <c r="AO19" s="158">
        <v>-1238</v>
      </c>
      <c r="AP19" s="149">
        <v>-0.11280182232346242</v>
      </c>
      <c r="AQ19" s="83"/>
      <c r="AR19" s="207">
        <v>14377</v>
      </c>
      <c r="AS19" s="207">
        <v>12541</v>
      </c>
      <c r="AT19" s="207">
        <v>18274</v>
      </c>
      <c r="AU19" s="207">
        <v>11950</v>
      </c>
      <c r="AV19" s="207">
        <v>6436</v>
      </c>
      <c r="AW19" s="207">
        <v>8840</v>
      </c>
      <c r="AX19" s="207">
        <v>7707</v>
      </c>
      <c r="AY19" s="43">
        <v>8540</v>
      </c>
      <c r="AZ19" s="43">
        <v>8278</v>
      </c>
      <c r="BA19" s="43">
        <v>10155</v>
      </c>
      <c r="BB19" s="3"/>
      <c r="BD19" s="3"/>
      <c r="BE19" s="3"/>
      <c r="BF19" s="3"/>
      <c r="BG19" s="3"/>
    </row>
    <row r="20" spans="1:59" ht="12.75" customHeight="1">
      <c r="A20" s="7"/>
      <c r="B20" s="200" t="s">
        <v>99</v>
      </c>
      <c r="C20" s="38">
        <v>-35171</v>
      </c>
      <c r="D20" s="30">
        <v>-0.46002825228241817</v>
      </c>
      <c r="E20" s="592"/>
      <c r="F20" s="394">
        <v>0</v>
      </c>
      <c r="G20" s="394">
        <v>41283</v>
      </c>
      <c r="H20" s="394">
        <v>31264</v>
      </c>
      <c r="I20" s="216">
        <v>32910</v>
      </c>
      <c r="J20" s="394">
        <v>56814</v>
      </c>
      <c r="K20" s="394">
        <v>76454</v>
      </c>
      <c r="L20" s="394">
        <v>35445</v>
      </c>
      <c r="M20" s="216">
        <v>35624</v>
      </c>
      <c r="N20" s="212">
        <v>71006</v>
      </c>
      <c r="O20" s="394">
        <v>56942</v>
      </c>
      <c r="P20" s="394">
        <v>42491</v>
      </c>
      <c r="Q20" s="216">
        <v>61867</v>
      </c>
      <c r="R20" s="212">
        <v>100901</v>
      </c>
      <c r="S20" s="394">
        <v>121385</v>
      </c>
      <c r="T20" s="394">
        <v>58181</v>
      </c>
      <c r="U20" s="216">
        <v>58053</v>
      </c>
      <c r="V20" s="212">
        <v>39289</v>
      </c>
      <c r="W20" s="394">
        <v>67352</v>
      </c>
      <c r="X20" s="394">
        <v>34463</v>
      </c>
      <c r="Y20" s="216">
        <v>36477</v>
      </c>
      <c r="Z20" s="394">
        <v>31276</v>
      </c>
      <c r="AA20" s="394">
        <v>20429</v>
      </c>
      <c r="AB20" s="394">
        <v>29110</v>
      </c>
      <c r="AC20" s="225">
        <v>42035</v>
      </c>
      <c r="AD20" s="212">
        <v>39733</v>
      </c>
      <c r="AE20" s="212">
        <v>52078</v>
      </c>
      <c r="AF20" s="212">
        <v>48387</v>
      </c>
      <c r="AG20" s="212">
        <v>72387</v>
      </c>
      <c r="AH20" s="174">
        <v>68481</v>
      </c>
      <c r="AI20" s="216">
        <v>58781</v>
      </c>
      <c r="AJ20" s="216">
        <v>46473</v>
      </c>
      <c r="AK20" s="216">
        <v>53589</v>
      </c>
      <c r="AL20" s="89"/>
      <c r="AM20" s="610">
        <v>105457</v>
      </c>
      <c r="AN20" s="610">
        <v>147523</v>
      </c>
      <c r="AO20" s="31">
        <v>-42066</v>
      </c>
      <c r="AP20" s="30">
        <v>-0.2851487564650936</v>
      </c>
      <c r="AQ20" s="83"/>
      <c r="AR20" s="201">
        <v>204337</v>
      </c>
      <c r="AS20" s="201">
        <v>232306</v>
      </c>
      <c r="AT20" s="201">
        <v>338520</v>
      </c>
      <c r="AU20" s="201">
        <v>177581</v>
      </c>
      <c r="AV20" s="201">
        <v>122850</v>
      </c>
      <c r="AW20" s="201">
        <v>212585</v>
      </c>
      <c r="AX20" s="201">
        <v>227324</v>
      </c>
      <c r="AY20" s="360">
        <v>189074</v>
      </c>
      <c r="AZ20" s="360">
        <v>123564</v>
      </c>
      <c r="BA20" s="360">
        <v>127269</v>
      </c>
      <c r="BB20" s="3"/>
      <c r="BD20" s="3"/>
      <c r="BE20" s="3"/>
      <c r="BF20" s="3"/>
      <c r="BG20" s="3"/>
    </row>
    <row r="21" spans="1:59" ht="13.5" customHeight="1">
      <c r="A21" s="7"/>
      <c r="B21" s="166" t="s">
        <v>327</v>
      </c>
      <c r="C21" s="38">
        <v>21459</v>
      </c>
      <c r="D21" s="30">
        <v>0.4849710721388537</v>
      </c>
      <c r="E21" s="592"/>
      <c r="F21" s="465"/>
      <c r="G21" s="465">
        <v>65707</v>
      </c>
      <c r="H21" s="465">
        <v>42936</v>
      </c>
      <c r="I21" s="216">
        <v>40489</v>
      </c>
      <c r="J21" s="465">
        <v>45552</v>
      </c>
      <c r="K21" s="465">
        <v>44248</v>
      </c>
      <c r="L21" s="465">
        <v>39034</v>
      </c>
      <c r="M21" s="216">
        <v>29220</v>
      </c>
      <c r="N21" s="465">
        <v>19861</v>
      </c>
      <c r="O21" s="465">
        <v>12748</v>
      </c>
      <c r="P21" s="465">
        <v>9338</v>
      </c>
      <c r="Q21" s="216">
        <v>9246</v>
      </c>
      <c r="R21" s="465">
        <v>34555</v>
      </c>
      <c r="S21" s="465">
        <v>23339</v>
      </c>
      <c r="T21" s="465">
        <v>18338</v>
      </c>
      <c r="U21" s="216">
        <v>16445</v>
      </c>
      <c r="V21" s="465">
        <v>21333</v>
      </c>
      <c r="W21" s="465">
        <v>26421</v>
      </c>
      <c r="X21" s="465" t="e">
        <v>#REF!</v>
      </c>
      <c r="Y21" s="216" t="e">
        <v>#REF!</v>
      </c>
      <c r="Z21" s="465" t="e">
        <v>#REF!</v>
      </c>
      <c r="AA21" s="465" t="e">
        <v>#REF!</v>
      </c>
      <c r="AB21" s="465" t="e">
        <v>#REF!</v>
      </c>
      <c r="AC21" s="216" t="e">
        <v>#REF!</v>
      </c>
      <c r="AD21" s="212" t="e">
        <v>#REF!</v>
      </c>
      <c r="AE21" s="212" t="e">
        <v>#REF!</v>
      </c>
      <c r="AF21" s="212" t="e">
        <v>#REF!</v>
      </c>
      <c r="AG21" s="212" t="e">
        <v>#REF!</v>
      </c>
      <c r="AH21" s="174" t="e">
        <v>#REF!</v>
      </c>
      <c r="AI21" s="216" t="e">
        <v>#REF!</v>
      </c>
      <c r="AJ21" s="216" t="e">
        <v>#REF!</v>
      </c>
      <c r="AK21" s="216" t="e">
        <v>#REF!</v>
      </c>
      <c r="AL21" s="89"/>
      <c r="AM21" s="610">
        <v>149132</v>
      </c>
      <c r="AN21" s="610">
        <v>112502</v>
      </c>
      <c r="AO21" s="31">
        <v>36630</v>
      </c>
      <c r="AP21" s="30">
        <v>0.3255942116584594</v>
      </c>
      <c r="AQ21" s="83"/>
      <c r="AR21" s="201">
        <v>158054</v>
      </c>
      <c r="AS21" s="201">
        <v>51193</v>
      </c>
      <c r="AT21" s="201">
        <v>92677</v>
      </c>
      <c r="AU21" s="201">
        <v>82454</v>
      </c>
      <c r="AV21" s="201">
        <v>72926</v>
      </c>
      <c r="AW21" s="201">
        <v>118332</v>
      </c>
      <c r="AX21" s="201">
        <v>129852</v>
      </c>
      <c r="AY21" s="43">
        <v>125900</v>
      </c>
      <c r="AZ21" s="43">
        <v>116090</v>
      </c>
      <c r="BA21" s="43">
        <v>84489</v>
      </c>
      <c r="BB21" s="3"/>
      <c r="BD21" s="3"/>
      <c r="BE21" s="3"/>
      <c r="BF21" s="3"/>
      <c r="BG21" s="3"/>
    </row>
    <row r="22" spans="1:59" ht="12.75" customHeight="1">
      <c r="A22" s="7"/>
      <c r="B22" s="166" t="s">
        <v>246</v>
      </c>
      <c r="C22" s="38">
        <v>10644</v>
      </c>
      <c r="D22" s="30">
        <v>0.2828970099667774</v>
      </c>
      <c r="E22" s="592"/>
      <c r="F22" s="465"/>
      <c r="G22" s="465">
        <v>48269</v>
      </c>
      <c r="H22" s="465">
        <v>44000</v>
      </c>
      <c r="I22" s="216">
        <v>52943</v>
      </c>
      <c r="J22" s="465">
        <v>45206</v>
      </c>
      <c r="K22" s="465">
        <v>37625</v>
      </c>
      <c r="L22" s="465">
        <v>39474</v>
      </c>
      <c r="M22" s="216">
        <v>31050</v>
      </c>
      <c r="N22" s="465">
        <v>18487</v>
      </c>
      <c r="O22" s="465">
        <v>17197</v>
      </c>
      <c r="P22" s="465">
        <v>17790</v>
      </c>
      <c r="Q22" s="216">
        <v>26012</v>
      </c>
      <c r="R22" s="465">
        <v>27712</v>
      </c>
      <c r="S22" s="465">
        <v>32618</v>
      </c>
      <c r="T22" s="465">
        <v>20083</v>
      </c>
      <c r="U22" s="216">
        <v>25806</v>
      </c>
      <c r="V22" s="465">
        <v>19380</v>
      </c>
      <c r="W22" s="465">
        <v>21984</v>
      </c>
      <c r="X22" s="465">
        <v>29595</v>
      </c>
      <c r="Y22" s="216">
        <v>26670</v>
      </c>
      <c r="Z22" s="475">
        <v>16696</v>
      </c>
      <c r="AA22" s="475">
        <v>16073</v>
      </c>
      <c r="AB22" s="475">
        <v>17456</v>
      </c>
      <c r="AC22" s="219">
        <v>24569</v>
      </c>
      <c r="AD22" s="212">
        <v>23292</v>
      </c>
      <c r="AE22" s="212">
        <v>22388</v>
      </c>
      <c r="AF22" s="212">
        <v>19827</v>
      </c>
      <c r="AG22" s="212">
        <v>25281</v>
      </c>
      <c r="AH22" s="174">
        <v>18686</v>
      </c>
      <c r="AI22" s="216">
        <v>17651</v>
      </c>
      <c r="AJ22" s="216">
        <v>17682</v>
      </c>
      <c r="AK22" s="216">
        <v>22625</v>
      </c>
      <c r="AL22" s="89"/>
      <c r="AM22" s="610">
        <v>145212</v>
      </c>
      <c r="AN22" s="610">
        <v>108149</v>
      </c>
      <c r="AO22" s="31">
        <v>37063</v>
      </c>
      <c r="AP22" s="30">
        <v>0.3427031225438978</v>
      </c>
      <c r="AQ22" s="83"/>
      <c r="AR22" s="201">
        <v>153355</v>
      </c>
      <c r="AS22" s="201">
        <v>79486</v>
      </c>
      <c r="AT22" s="201">
        <v>106219</v>
      </c>
      <c r="AU22" s="201">
        <v>97629</v>
      </c>
      <c r="AV22" s="201">
        <v>74794</v>
      </c>
      <c r="AW22" s="201">
        <v>90788</v>
      </c>
      <c r="AX22" s="201">
        <v>76644</v>
      </c>
      <c r="AY22" s="43">
        <v>18692</v>
      </c>
      <c r="AZ22" s="43">
        <v>0</v>
      </c>
      <c r="BA22" s="43">
        <v>0</v>
      </c>
      <c r="BB22" s="3"/>
      <c r="BD22" s="3"/>
      <c r="BE22" s="3"/>
      <c r="BF22" s="3"/>
      <c r="BG22" s="3"/>
    </row>
    <row r="23" spans="1:59" ht="13.5" customHeight="1">
      <c r="A23" s="7"/>
      <c r="B23" s="166" t="s">
        <v>473</v>
      </c>
      <c r="C23" s="38">
        <v>8677</v>
      </c>
      <c r="D23" s="30">
        <v>1.1889558783228282</v>
      </c>
      <c r="E23" s="592"/>
      <c r="F23" s="475"/>
      <c r="G23" s="475">
        <v>15975</v>
      </c>
      <c r="H23" s="475">
        <v>8491</v>
      </c>
      <c r="I23" s="216">
        <v>4864</v>
      </c>
      <c r="J23" s="475">
        <v>6425</v>
      </c>
      <c r="K23" s="475">
        <v>7298</v>
      </c>
      <c r="L23" s="475">
        <v>6157</v>
      </c>
      <c r="M23" s="216">
        <v>5407</v>
      </c>
      <c r="N23" s="465">
        <v>3713</v>
      </c>
      <c r="O23" s="475">
        <v>6694</v>
      </c>
      <c r="P23" s="475">
        <v>-167</v>
      </c>
      <c r="Q23" s="216">
        <v>252</v>
      </c>
      <c r="R23" s="465">
        <v>603</v>
      </c>
      <c r="S23" s="475">
        <v>416</v>
      </c>
      <c r="T23" s="465">
        <v>361</v>
      </c>
      <c r="U23" s="216">
        <v>-152</v>
      </c>
      <c r="V23" s="465">
        <v>3494</v>
      </c>
      <c r="W23" s="475">
        <v>333</v>
      </c>
      <c r="X23" s="465"/>
      <c r="Y23" s="216"/>
      <c r="Z23" s="465"/>
      <c r="AA23" s="465"/>
      <c r="AB23" s="465"/>
      <c r="AC23" s="216"/>
      <c r="AD23" s="212"/>
      <c r="AE23" s="212"/>
      <c r="AF23" s="212"/>
      <c r="AG23" s="212"/>
      <c r="AH23" s="174"/>
      <c r="AI23" s="216"/>
      <c r="AJ23" s="216"/>
      <c r="AK23" s="216"/>
      <c r="AL23" s="89"/>
      <c r="AM23" s="716">
        <v>29330</v>
      </c>
      <c r="AN23" s="611">
        <v>18862</v>
      </c>
      <c r="AO23" s="31">
        <v>10468</v>
      </c>
      <c r="AP23" s="30">
        <v>0.5549782631746368</v>
      </c>
      <c r="AQ23" s="83"/>
      <c r="AR23" s="201">
        <v>25287</v>
      </c>
      <c r="AS23" s="201">
        <v>10492</v>
      </c>
      <c r="AT23" s="201">
        <v>1228</v>
      </c>
      <c r="AU23" s="201">
        <v>5894</v>
      </c>
      <c r="AV23" s="201">
        <v>6781</v>
      </c>
      <c r="AW23" s="201">
        <v>9937</v>
      </c>
      <c r="AX23" s="201">
        <v>15897</v>
      </c>
      <c r="AY23" s="43"/>
      <c r="AZ23" s="43"/>
      <c r="BA23" s="43"/>
      <c r="BB23" s="3"/>
      <c r="BD23" s="3"/>
      <c r="BE23" s="3"/>
      <c r="BF23" s="3"/>
      <c r="BG23" s="3"/>
    </row>
    <row r="24" spans="1:59" ht="12.75" customHeight="1">
      <c r="A24" s="8"/>
      <c r="B24" s="7"/>
      <c r="C24" s="169">
        <v>5609</v>
      </c>
      <c r="D24" s="170">
        <v>0.03386566037735849</v>
      </c>
      <c r="E24" s="592"/>
      <c r="F24" s="212">
        <v>0</v>
      </c>
      <c r="G24" s="212">
        <v>171234</v>
      </c>
      <c r="H24" s="212">
        <v>126691</v>
      </c>
      <c r="I24" s="221">
        <v>131206</v>
      </c>
      <c r="J24" s="212">
        <v>153997</v>
      </c>
      <c r="K24" s="212">
        <v>165625</v>
      </c>
      <c r="L24" s="212">
        <v>120110</v>
      </c>
      <c r="M24" s="221">
        <v>101301</v>
      </c>
      <c r="N24" s="220">
        <v>113067</v>
      </c>
      <c r="O24" s="212">
        <v>93581</v>
      </c>
      <c r="P24" s="212">
        <v>69452</v>
      </c>
      <c r="Q24" s="221">
        <v>97377</v>
      </c>
      <c r="R24" s="220">
        <v>163771</v>
      </c>
      <c r="S24" s="212">
        <v>177758</v>
      </c>
      <c r="T24" s="220">
        <v>96963</v>
      </c>
      <c r="U24" s="221">
        <v>100152</v>
      </c>
      <c r="V24" s="220">
        <v>83496</v>
      </c>
      <c r="W24" s="212">
        <v>116090</v>
      </c>
      <c r="X24" s="220">
        <v>78475</v>
      </c>
      <c r="Y24" s="221">
        <v>85497</v>
      </c>
      <c r="Z24" s="212">
        <v>64972</v>
      </c>
      <c r="AA24" s="212">
        <v>49250</v>
      </c>
      <c r="AB24" s="212">
        <v>58336</v>
      </c>
      <c r="AC24" s="216">
        <v>104793</v>
      </c>
      <c r="AD24" s="220">
        <v>77965</v>
      </c>
      <c r="AE24" s="220">
        <v>109583</v>
      </c>
      <c r="AF24" s="220">
        <v>89071</v>
      </c>
      <c r="AG24" s="220">
        <v>155023</v>
      </c>
      <c r="AH24" s="178">
        <v>130151</v>
      </c>
      <c r="AI24" s="221">
        <v>101427</v>
      </c>
      <c r="AJ24" s="221">
        <v>93033</v>
      </c>
      <c r="AK24" s="221">
        <v>125106</v>
      </c>
      <c r="AL24" s="89"/>
      <c r="AM24" s="611">
        <v>429131</v>
      </c>
      <c r="AN24" s="611">
        <v>387036</v>
      </c>
      <c r="AO24" s="389">
        <v>42095</v>
      </c>
      <c r="AP24" s="170">
        <v>0.10876249237797</v>
      </c>
      <c r="AQ24" s="83"/>
      <c r="AR24" s="202">
        <v>541033</v>
      </c>
      <c r="AS24" s="202">
        <v>373477</v>
      </c>
      <c r="AT24" s="202">
        <v>538644</v>
      </c>
      <c r="AU24" s="202">
        <v>363558</v>
      </c>
      <c r="AV24" s="202">
        <v>277351</v>
      </c>
      <c r="AW24" s="202">
        <v>431642</v>
      </c>
      <c r="AX24" s="202">
        <v>449717</v>
      </c>
      <c r="AY24" s="355">
        <v>333666</v>
      </c>
      <c r="AZ24" s="355">
        <v>239654</v>
      </c>
      <c r="BA24" s="355">
        <v>211758</v>
      </c>
      <c r="BB24" s="3"/>
      <c r="BD24" s="3"/>
      <c r="BE24" s="3"/>
      <c r="BF24" s="3"/>
      <c r="BG24" s="3"/>
    </row>
    <row r="25" spans="1:59" ht="12.75" customHeight="1">
      <c r="A25" s="142" t="s">
        <v>5</v>
      </c>
      <c r="B25" s="7"/>
      <c r="C25" s="38"/>
      <c r="D25" s="30"/>
      <c r="E25" s="592"/>
      <c r="F25" s="476"/>
      <c r="G25" s="476"/>
      <c r="H25" s="476"/>
      <c r="I25" s="216"/>
      <c r="J25" s="476"/>
      <c r="K25" s="476"/>
      <c r="L25" s="476"/>
      <c r="M25" s="216"/>
      <c r="N25" s="465"/>
      <c r="O25" s="476"/>
      <c r="P25" s="476"/>
      <c r="Q25" s="216"/>
      <c r="R25" s="465"/>
      <c r="S25" s="476"/>
      <c r="T25" s="465"/>
      <c r="U25" s="216"/>
      <c r="V25" s="465"/>
      <c r="W25" s="476"/>
      <c r="X25" s="465"/>
      <c r="Y25" s="216"/>
      <c r="Z25" s="476"/>
      <c r="AA25" s="476"/>
      <c r="AB25" s="476"/>
      <c r="AC25" s="225"/>
      <c r="AD25" s="212"/>
      <c r="AE25" s="212"/>
      <c r="AF25" s="212"/>
      <c r="AG25" s="212"/>
      <c r="AH25" s="174"/>
      <c r="AI25" s="216"/>
      <c r="AJ25" s="216"/>
      <c r="AK25" s="216"/>
      <c r="AL25" s="89"/>
      <c r="AM25" s="610"/>
      <c r="AN25" s="610"/>
      <c r="AO25" s="31"/>
      <c r="AP25" s="30"/>
      <c r="AQ25" s="83"/>
      <c r="AR25" s="304"/>
      <c r="AS25" s="304"/>
      <c r="AT25" s="304"/>
      <c r="AU25" s="304"/>
      <c r="AV25" s="304"/>
      <c r="AW25" s="201"/>
      <c r="AX25" s="201"/>
      <c r="AY25" s="43"/>
      <c r="AZ25" s="43"/>
      <c r="BA25" s="43"/>
      <c r="BB25" s="3"/>
      <c r="BD25" s="3"/>
      <c r="BE25" s="3"/>
      <c r="BF25" s="3"/>
      <c r="BG25" s="3"/>
    </row>
    <row r="26" spans="1:59" ht="12.75" customHeight="1">
      <c r="A26" s="142"/>
      <c r="B26" s="7" t="s">
        <v>399</v>
      </c>
      <c r="C26" s="38">
        <v>2816</v>
      </c>
      <c r="D26" s="30">
        <v>0.037016589110602835</v>
      </c>
      <c r="E26" s="592"/>
      <c r="F26" s="465"/>
      <c r="G26" s="465">
        <v>78890</v>
      </c>
      <c r="H26" s="465">
        <v>57661</v>
      </c>
      <c r="I26" s="216">
        <v>54055</v>
      </c>
      <c r="J26" s="465">
        <v>76337</v>
      </c>
      <c r="K26" s="465">
        <v>76074</v>
      </c>
      <c r="L26" s="465">
        <v>57422</v>
      </c>
      <c r="M26" s="216">
        <v>47123</v>
      </c>
      <c r="N26" s="465">
        <v>60386</v>
      </c>
      <c r="O26" s="465">
        <v>39742</v>
      </c>
      <c r="P26" s="465">
        <v>31911</v>
      </c>
      <c r="Q26" s="216">
        <v>47297</v>
      </c>
      <c r="R26" s="465">
        <v>79647</v>
      </c>
      <c r="S26" s="465">
        <v>80361</v>
      </c>
      <c r="T26" s="216">
        <v>42653</v>
      </c>
      <c r="U26" s="216"/>
      <c r="V26" s="465"/>
      <c r="W26" s="465"/>
      <c r="X26" s="465"/>
      <c r="Y26" s="216"/>
      <c r="Z26" s="465"/>
      <c r="AA26" s="465"/>
      <c r="AB26" s="465"/>
      <c r="AC26" s="216"/>
      <c r="AD26" s="212"/>
      <c r="AE26" s="212"/>
      <c r="AF26" s="212"/>
      <c r="AG26" s="212"/>
      <c r="AH26" s="174"/>
      <c r="AI26" s="216"/>
      <c r="AJ26" s="216"/>
      <c r="AK26" s="216"/>
      <c r="AL26" s="89"/>
      <c r="AM26" s="610">
        <v>190606</v>
      </c>
      <c r="AN26" s="610">
        <v>180619</v>
      </c>
      <c r="AO26" s="31">
        <v>9987</v>
      </c>
      <c r="AP26" s="30">
        <v>0.05529318620964572</v>
      </c>
      <c r="AQ26" s="83"/>
      <c r="AR26" s="201">
        <v>256956</v>
      </c>
      <c r="AS26" s="201">
        <v>179336</v>
      </c>
      <c r="AT26" s="201">
        <v>247207</v>
      </c>
      <c r="AU26" s="201">
        <v>184644</v>
      </c>
      <c r="AV26" s="201">
        <v>135129</v>
      </c>
      <c r="AW26" s="201">
        <v>213579</v>
      </c>
      <c r="AX26" s="201"/>
      <c r="AY26" s="43"/>
      <c r="AZ26" s="43"/>
      <c r="BA26" s="43"/>
      <c r="BB26" s="3"/>
      <c r="BD26" s="3"/>
      <c r="BE26" s="3"/>
      <c r="BF26" s="3"/>
      <c r="BG26" s="3"/>
    </row>
    <row r="27" spans="1:59" ht="12.75" customHeight="1">
      <c r="A27" s="142"/>
      <c r="B27" s="7" t="s">
        <v>400</v>
      </c>
      <c r="C27" s="471">
        <v>1450</v>
      </c>
      <c r="D27" s="149">
        <v>0.19307589880159787</v>
      </c>
      <c r="E27" s="592"/>
      <c r="F27" s="475"/>
      <c r="G27" s="475">
        <v>8960</v>
      </c>
      <c r="H27" s="475">
        <v>6978</v>
      </c>
      <c r="I27" s="219">
        <v>8282</v>
      </c>
      <c r="J27" s="475">
        <v>7927</v>
      </c>
      <c r="K27" s="475">
        <v>7510</v>
      </c>
      <c r="L27" s="475">
        <v>9158</v>
      </c>
      <c r="M27" s="219">
        <v>11039</v>
      </c>
      <c r="N27" s="475">
        <v>5755</v>
      </c>
      <c r="O27" s="475">
        <v>5491</v>
      </c>
      <c r="P27" s="475">
        <v>4965</v>
      </c>
      <c r="Q27" s="219">
        <v>-1142</v>
      </c>
      <c r="R27" s="475">
        <v>-3795</v>
      </c>
      <c r="S27" s="475">
        <v>2682</v>
      </c>
      <c r="T27" s="219">
        <v>3602</v>
      </c>
      <c r="U27" s="216"/>
      <c r="V27" s="465"/>
      <c r="W27" s="465"/>
      <c r="X27" s="465"/>
      <c r="Y27" s="216"/>
      <c r="Z27" s="465"/>
      <c r="AA27" s="465"/>
      <c r="AB27" s="465"/>
      <c r="AC27" s="216"/>
      <c r="AD27" s="212"/>
      <c r="AE27" s="212"/>
      <c r="AF27" s="212"/>
      <c r="AG27" s="212"/>
      <c r="AH27" s="174"/>
      <c r="AI27" s="216"/>
      <c r="AJ27" s="216"/>
      <c r="AK27" s="216"/>
      <c r="AL27" s="89"/>
      <c r="AM27" s="611">
        <v>24220</v>
      </c>
      <c r="AN27" s="611">
        <v>27707</v>
      </c>
      <c r="AO27" s="158">
        <v>-3487</v>
      </c>
      <c r="AP27" s="149">
        <v>-0.12585267260980978</v>
      </c>
      <c r="AQ27" s="83"/>
      <c r="AR27" s="207">
        <v>35634</v>
      </c>
      <c r="AS27" s="207">
        <v>15069</v>
      </c>
      <c r="AT27" s="207">
        <v>4113</v>
      </c>
      <c r="AU27" s="207">
        <v>10560</v>
      </c>
      <c r="AV27" s="207">
        <v>6465</v>
      </c>
      <c r="AW27" s="207">
        <v>3157</v>
      </c>
      <c r="AX27" s="201"/>
      <c r="AY27" s="43"/>
      <c r="AZ27" s="43"/>
      <c r="BA27" s="43"/>
      <c r="BB27" s="3"/>
      <c r="BD27" s="3"/>
      <c r="BE27" s="3"/>
      <c r="BF27" s="3"/>
      <c r="BG27" s="3"/>
    </row>
    <row r="28" spans="1:59" ht="12.75" customHeight="1">
      <c r="A28" s="8"/>
      <c r="B28" s="166" t="s">
        <v>261</v>
      </c>
      <c r="C28" s="38">
        <v>4266</v>
      </c>
      <c r="D28" s="30">
        <v>0.0510384762633997</v>
      </c>
      <c r="E28" s="592"/>
      <c r="F28" s="465">
        <v>0</v>
      </c>
      <c r="G28" s="465">
        <v>87850</v>
      </c>
      <c r="H28" s="465">
        <v>64639</v>
      </c>
      <c r="I28" s="216">
        <v>62337</v>
      </c>
      <c r="J28" s="465">
        <v>84264</v>
      </c>
      <c r="K28" s="465">
        <v>83584</v>
      </c>
      <c r="L28" s="465">
        <v>66580</v>
      </c>
      <c r="M28" s="216">
        <v>58162</v>
      </c>
      <c r="N28" s="465">
        <v>66141</v>
      </c>
      <c r="O28" s="465">
        <v>45233</v>
      </c>
      <c r="P28" s="465">
        <v>36876</v>
      </c>
      <c r="Q28" s="216">
        <v>46155</v>
      </c>
      <c r="R28" s="465">
        <v>75852</v>
      </c>
      <c r="S28" s="465">
        <v>83043</v>
      </c>
      <c r="T28" s="465">
        <v>46255</v>
      </c>
      <c r="U28" s="216">
        <v>46170</v>
      </c>
      <c r="V28" s="465">
        <v>43645</v>
      </c>
      <c r="W28" s="465">
        <v>63567</v>
      </c>
      <c r="X28" s="465">
        <v>42761</v>
      </c>
      <c r="Y28" s="216">
        <v>45231</v>
      </c>
      <c r="Z28" s="465">
        <v>30210</v>
      </c>
      <c r="AA28" s="465">
        <v>28857</v>
      </c>
      <c r="AB28" s="465">
        <v>29998</v>
      </c>
      <c r="AC28" s="216">
        <v>52529</v>
      </c>
      <c r="AD28" s="212">
        <v>40395</v>
      </c>
      <c r="AE28" s="212">
        <v>57933</v>
      </c>
      <c r="AF28" s="212">
        <v>42205</v>
      </c>
      <c r="AG28" s="212">
        <v>76203</v>
      </c>
      <c r="AH28" s="174">
        <v>70783</v>
      </c>
      <c r="AI28" s="216">
        <v>51546</v>
      </c>
      <c r="AJ28" s="216">
        <v>45305</v>
      </c>
      <c r="AK28" s="216">
        <v>65948</v>
      </c>
      <c r="AL28" s="89"/>
      <c r="AM28" s="610">
        <v>214826</v>
      </c>
      <c r="AN28" s="610">
        <v>208326</v>
      </c>
      <c r="AO28" s="31">
        <v>6500</v>
      </c>
      <c r="AP28" s="30">
        <v>0.031201098278659408</v>
      </c>
      <c r="AQ28" s="83"/>
      <c r="AR28" s="201">
        <v>292590</v>
      </c>
      <c r="AS28" s="201">
        <v>194405</v>
      </c>
      <c r="AT28" s="201">
        <v>251320</v>
      </c>
      <c r="AU28" s="201">
        <v>195204</v>
      </c>
      <c r="AV28" s="201">
        <v>141594</v>
      </c>
      <c r="AW28" s="201">
        <v>216736</v>
      </c>
      <c r="AX28" s="201">
        <v>233582</v>
      </c>
      <c r="AY28" s="43">
        <v>175604</v>
      </c>
      <c r="AZ28" s="43">
        <v>125030</v>
      </c>
      <c r="BA28" s="43">
        <v>120298</v>
      </c>
      <c r="BB28" s="3"/>
      <c r="BD28" s="3"/>
      <c r="BE28" s="3"/>
      <c r="BF28" s="3"/>
      <c r="BG28" s="3"/>
    </row>
    <row r="29" spans="1:59" ht="12.75">
      <c r="A29" s="8"/>
      <c r="B29" s="166" t="s">
        <v>74</v>
      </c>
      <c r="C29" s="38">
        <v>-153</v>
      </c>
      <c r="D29" s="30">
        <v>-0.01847826086956522</v>
      </c>
      <c r="E29" s="592"/>
      <c r="F29" s="465"/>
      <c r="G29" s="465">
        <v>8127</v>
      </c>
      <c r="H29" s="465">
        <v>8594</v>
      </c>
      <c r="I29" s="216">
        <v>8936</v>
      </c>
      <c r="J29" s="465">
        <v>9480</v>
      </c>
      <c r="K29" s="465">
        <v>8280</v>
      </c>
      <c r="L29" s="465">
        <v>8670</v>
      </c>
      <c r="M29" s="216">
        <v>8811</v>
      </c>
      <c r="N29" s="465">
        <v>4982</v>
      </c>
      <c r="O29" s="465">
        <v>4241</v>
      </c>
      <c r="P29" s="465">
        <v>3382</v>
      </c>
      <c r="Q29" s="216">
        <v>5211</v>
      </c>
      <c r="R29" s="465">
        <v>4311</v>
      </c>
      <c r="S29" s="465">
        <v>3896</v>
      </c>
      <c r="T29" s="465">
        <v>4154</v>
      </c>
      <c r="U29" s="216">
        <v>4021</v>
      </c>
      <c r="V29" s="465">
        <v>4088</v>
      </c>
      <c r="W29" s="465">
        <v>4441</v>
      </c>
      <c r="X29" s="465">
        <v>3376</v>
      </c>
      <c r="Y29" s="216">
        <v>3404</v>
      </c>
      <c r="Z29" s="465">
        <v>3513</v>
      </c>
      <c r="AA29" s="465">
        <v>3413</v>
      </c>
      <c r="AB29" s="465">
        <v>3919</v>
      </c>
      <c r="AC29" s="216">
        <v>4223</v>
      </c>
      <c r="AD29" s="212">
        <v>3306</v>
      </c>
      <c r="AE29" s="212">
        <v>3275</v>
      </c>
      <c r="AF29" s="212">
        <v>3194</v>
      </c>
      <c r="AG29" s="212">
        <v>4019</v>
      </c>
      <c r="AH29" s="174">
        <v>2619</v>
      </c>
      <c r="AI29" s="216">
        <v>3158</v>
      </c>
      <c r="AJ29" s="216">
        <v>2228</v>
      </c>
      <c r="AK29" s="216">
        <v>3188</v>
      </c>
      <c r="AL29" s="89"/>
      <c r="AM29" s="610">
        <v>25657</v>
      </c>
      <c r="AN29" s="610">
        <v>25761</v>
      </c>
      <c r="AO29" s="31">
        <v>-104</v>
      </c>
      <c r="AP29" s="30">
        <v>-0.004037110360622646</v>
      </c>
      <c r="AQ29" s="83"/>
      <c r="AR29" s="201">
        <v>35241</v>
      </c>
      <c r="AS29" s="201">
        <v>17816</v>
      </c>
      <c r="AT29" s="201">
        <v>16382</v>
      </c>
      <c r="AU29" s="201">
        <v>15309</v>
      </c>
      <c r="AV29" s="201">
        <v>15068</v>
      </c>
      <c r="AW29" s="201">
        <v>13794</v>
      </c>
      <c r="AX29" s="201">
        <v>11193</v>
      </c>
      <c r="AY29" s="43">
        <v>8435</v>
      </c>
      <c r="AZ29" s="43">
        <v>16577</v>
      </c>
      <c r="BA29" s="43">
        <v>12517</v>
      </c>
      <c r="BB29" s="3"/>
      <c r="BD29" s="3"/>
      <c r="BE29" s="3"/>
      <c r="BF29" s="3"/>
      <c r="BG29" s="3"/>
    </row>
    <row r="30" spans="1:59" ht="12.75">
      <c r="A30" s="8"/>
      <c r="B30" s="166" t="s">
        <v>104</v>
      </c>
      <c r="C30" s="38">
        <v>3013</v>
      </c>
      <c r="D30" s="30">
        <v>0.4112187798553296</v>
      </c>
      <c r="E30" s="592"/>
      <c r="F30" s="465"/>
      <c r="G30" s="465">
        <v>10340</v>
      </c>
      <c r="H30" s="465">
        <v>9282</v>
      </c>
      <c r="I30" s="216">
        <v>10867</v>
      </c>
      <c r="J30" s="465">
        <v>7759</v>
      </c>
      <c r="K30" s="465">
        <v>7327</v>
      </c>
      <c r="L30" s="465">
        <v>7721</v>
      </c>
      <c r="M30" s="216">
        <v>9845</v>
      </c>
      <c r="N30" s="465">
        <v>4179</v>
      </c>
      <c r="O30" s="465">
        <v>5248</v>
      </c>
      <c r="P30" s="465">
        <v>5688</v>
      </c>
      <c r="Q30" s="216">
        <v>6329</v>
      </c>
      <c r="R30" s="465">
        <v>5831</v>
      </c>
      <c r="S30" s="465">
        <v>5595</v>
      </c>
      <c r="T30" s="465">
        <v>5128</v>
      </c>
      <c r="U30" s="216">
        <v>4885</v>
      </c>
      <c r="V30" s="465">
        <v>4483</v>
      </c>
      <c r="W30" s="465">
        <v>4661</v>
      </c>
      <c r="X30" s="465">
        <v>4275</v>
      </c>
      <c r="Y30" s="216">
        <v>4870</v>
      </c>
      <c r="Z30" s="465">
        <v>4618</v>
      </c>
      <c r="AA30" s="465">
        <v>4587</v>
      </c>
      <c r="AB30" s="465">
        <v>5118</v>
      </c>
      <c r="AC30" s="216">
        <v>4540</v>
      </c>
      <c r="AD30" s="212">
        <v>4027</v>
      </c>
      <c r="AE30" s="212">
        <v>4655</v>
      </c>
      <c r="AF30" s="212">
        <v>4906</v>
      </c>
      <c r="AG30" s="212">
        <v>4441</v>
      </c>
      <c r="AH30" s="174">
        <v>4178</v>
      </c>
      <c r="AI30" s="216">
        <v>3700</v>
      </c>
      <c r="AJ30" s="216">
        <v>3796</v>
      </c>
      <c r="AK30" s="216">
        <v>5308</v>
      </c>
      <c r="AL30" s="89"/>
      <c r="AM30" s="610">
        <v>30489</v>
      </c>
      <c r="AN30" s="610">
        <v>24893</v>
      </c>
      <c r="AO30" s="31">
        <v>5596</v>
      </c>
      <c r="AP30" s="30">
        <v>0.22480215321576347</v>
      </c>
      <c r="AQ30" s="83"/>
      <c r="AR30" s="201">
        <v>32652</v>
      </c>
      <c r="AS30" s="201">
        <v>21444</v>
      </c>
      <c r="AT30" s="201">
        <v>21439</v>
      </c>
      <c r="AU30" s="201">
        <v>18289</v>
      </c>
      <c r="AV30" s="201">
        <v>18863</v>
      </c>
      <c r="AW30" s="201">
        <v>18029</v>
      </c>
      <c r="AX30" s="201">
        <v>16982</v>
      </c>
      <c r="AY30" s="43">
        <v>10095</v>
      </c>
      <c r="AZ30" s="43">
        <v>6951</v>
      </c>
      <c r="BA30" s="43">
        <v>3440</v>
      </c>
      <c r="BB30" s="3"/>
      <c r="BD30" s="3"/>
      <c r="BE30" s="3"/>
      <c r="BF30" s="3"/>
      <c r="BG30" s="3"/>
    </row>
    <row r="31" spans="1:59" ht="12.75" customHeight="1">
      <c r="A31" s="8"/>
      <c r="B31" s="166" t="s">
        <v>76</v>
      </c>
      <c r="C31" s="38">
        <v>237</v>
      </c>
      <c r="D31" s="30">
        <v>0.037708830548926014</v>
      </c>
      <c r="E31" s="592"/>
      <c r="F31" s="465"/>
      <c r="G31" s="465">
        <v>6522</v>
      </c>
      <c r="H31" s="465">
        <v>6395</v>
      </c>
      <c r="I31" s="216">
        <v>5748</v>
      </c>
      <c r="J31" s="465">
        <v>6541</v>
      </c>
      <c r="K31" s="465">
        <v>6285</v>
      </c>
      <c r="L31" s="465">
        <v>7195</v>
      </c>
      <c r="M31" s="216">
        <v>7029</v>
      </c>
      <c r="N31" s="465">
        <v>4122</v>
      </c>
      <c r="O31" s="465">
        <v>3512</v>
      </c>
      <c r="P31" s="465">
        <v>3993</v>
      </c>
      <c r="Q31" s="216">
        <v>3109</v>
      </c>
      <c r="R31" s="465">
        <v>3422</v>
      </c>
      <c r="S31" s="465">
        <v>3417</v>
      </c>
      <c r="T31" s="465">
        <v>2947</v>
      </c>
      <c r="U31" s="216">
        <v>2602</v>
      </c>
      <c r="V31" s="465">
        <v>2882</v>
      </c>
      <c r="W31" s="465">
        <v>2984</v>
      </c>
      <c r="X31" s="465">
        <v>2972</v>
      </c>
      <c r="Y31" s="216">
        <v>2884</v>
      </c>
      <c r="Z31" s="465">
        <v>3106</v>
      </c>
      <c r="AA31" s="465">
        <v>3322</v>
      </c>
      <c r="AB31" s="465">
        <v>3104</v>
      </c>
      <c r="AC31" s="216">
        <v>2868</v>
      </c>
      <c r="AD31" s="212">
        <v>3067</v>
      </c>
      <c r="AE31" s="212">
        <v>3011</v>
      </c>
      <c r="AF31" s="212">
        <v>2910</v>
      </c>
      <c r="AG31" s="212">
        <v>2613</v>
      </c>
      <c r="AH31" s="174">
        <v>5054</v>
      </c>
      <c r="AI31" s="216">
        <v>3183</v>
      </c>
      <c r="AJ31" s="216">
        <v>2884</v>
      </c>
      <c r="AK31" s="216">
        <v>3008</v>
      </c>
      <c r="AL31" s="89"/>
      <c r="AM31" s="610">
        <v>18665</v>
      </c>
      <c r="AN31" s="610">
        <v>20509</v>
      </c>
      <c r="AO31" s="31">
        <v>-1844</v>
      </c>
      <c r="AP31" s="30">
        <v>-0.08991174606270418</v>
      </c>
      <c r="AQ31" s="83"/>
      <c r="AR31" s="201">
        <v>27050</v>
      </c>
      <c r="AS31" s="201">
        <v>14736</v>
      </c>
      <c r="AT31" s="201">
        <v>12388</v>
      </c>
      <c r="AU31" s="201">
        <v>11722</v>
      </c>
      <c r="AV31" s="201">
        <v>12400</v>
      </c>
      <c r="AW31" s="201">
        <v>11601</v>
      </c>
      <c r="AX31" s="201">
        <v>14129</v>
      </c>
      <c r="AY31" s="43">
        <v>5886</v>
      </c>
      <c r="AZ31" s="43">
        <v>3980</v>
      </c>
      <c r="BA31" s="43">
        <v>4236</v>
      </c>
      <c r="BB31" s="3"/>
      <c r="BD31" s="3"/>
      <c r="BE31" s="3"/>
      <c r="BF31" s="3"/>
      <c r="BG31" s="3"/>
    </row>
    <row r="32" spans="1:59" ht="12.75" customHeight="1">
      <c r="A32" s="8"/>
      <c r="B32" s="166" t="s">
        <v>77</v>
      </c>
      <c r="C32" s="38">
        <v>-279</v>
      </c>
      <c r="D32" s="30">
        <v>-0.03399536980626294</v>
      </c>
      <c r="E32" s="592"/>
      <c r="F32" s="465"/>
      <c r="G32" s="465">
        <v>7928</v>
      </c>
      <c r="H32" s="465">
        <v>7100</v>
      </c>
      <c r="I32" s="216">
        <v>6850</v>
      </c>
      <c r="J32" s="465">
        <v>7177</v>
      </c>
      <c r="K32" s="465">
        <v>8207</v>
      </c>
      <c r="L32" s="465">
        <v>7393</v>
      </c>
      <c r="M32" s="216">
        <v>10194</v>
      </c>
      <c r="N32" s="465">
        <v>5670</v>
      </c>
      <c r="O32" s="465">
        <v>4181</v>
      </c>
      <c r="P32" s="465">
        <v>4209</v>
      </c>
      <c r="Q32" s="216">
        <v>3961</v>
      </c>
      <c r="R32" s="465">
        <v>3886</v>
      </c>
      <c r="S32" s="465">
        <v>4023</v>
      </c>
      <c r="T32" s="465">
        <v>4197</v>
      </c>
      <c r="U32" s="216">
        <v>3871</v>
      </c>
      <c r="V32" s="465">
        <v>2772</v>
      </c>
      <c r="W32" s="465">
        <v>3006</v>
      </c>
      <c r="X32" s="465">
        <v>2611</v>
      </c>
      <c r="Y32" s="216">
        <v>2780</v>
      </c>
      <c r="Z32" s="465">
        <v>3352</v>
      </c>
      <c r="AA32" s="465">
        <v>3136</v>
      </c>
      <c r="AB32" s="465">
        <v>3803</v>
      </c>
      <c r="AC32" s="216">
        <v>3278</v>
      </c>
      <c r="AD32" s="212">
        <v>3325</v>
      </c>
      <c r="AE32" s="212">
        <v>3063</v>
      </c>
      <c r="AF32" s="212">
        <v>2962</v>
      </c>
      <c r="AG32" s="212">
        <v>2879</v>
      </c>
      <c r="AH32" s="174">
        <v>2804</v>
      </c>
      <c r="AI32" s="216">
        <v>2586</v>
      </c>
      <c r="AJ32" s="216">
        <v>2530</v>
      </c>
      <c r="AK32" s="216">
        <v>2427</v>
      </c>
      <c r="AL32" s="89"/>
      <c r="AM32" s="610">
        <v>21878</v>
      </c>
      <c r="AN32" s="610">
        <v>25794</v>
      </c>
      <c r="AO32" s="31">
        <v>-3916</v>
      </c>
      <c r="AP32" s="30">
        <v>-0.151818252306738</v>
      </c>
      <c r="AQ32" s="83"/>
      <c r="AR32" s="201">
        <v>32971</v>
      </c>
      <c r="AS32" s="201">
        <v>18021</v>
      </c>
      <c r="AT32" s="201">
        <v>15977</v>
      </c>
      <c r="AU32" s="201">
        <v>11169</v>
      </c>
      <c r="AV32" s="201">
        <v>13569</v>
      </c>
      <c r="AW32" s="201">
        <v>12229</v>
      </c>
      <c r="AX32" s="201">
        <v>10347</v>
      </c>
      <c r="AY32" s="43">
        <v>6727</v>
      </c>
      <c r="AZ32" s="43">
        <v>5252</v>
      </c>
      <c r="BA32" s="43">
        <v>4205</v>
      </c>
      <c r="BB32" s="3"/>
      <c r="BD32" s="3"/>
      <c r="BE32" s="3"/>
      <c r="BF32" s="3"/>
      <c r="BG32" s="3"/>
    </row>
    <row r="33" spans="1:59" ht="12.75" customHeight="1">
      <c r="A33" s="8"/>
      <c r="B33" s="166" t="s">
        <v>72</v>
      </c>
      <c r="C33" s="38">
        <v>-322</v>
      </c>
      <c r="D33" s="30">
        <v>-0.09171176303047565</v>
      </c>
      <c r="E33" s="592"/>
      <c r="F33" s="465"/>
      <c r="G33" s="465">
        <v>3189</v>
      </c>
      <c r="H33" s="465">
        <v>3565</v>
      </c>
      <c r="I33" s="216">
        <v>4132</v>
      </c>
      <c r="J33" s="465">
        <v>2908</v>
      </c>
      <c r="K33" s="465">
        <v>3511</v>
      </c>
      <c r="L33" s="465">
        <v>2864</v>
      </c>
      <c r="M33" s="216">
        <v>3917</v>
      </c>
      <c r="N33" s="465">
        <v>2645</v>
      </c>
      <c r="O33" s="465">
        <v>1918</v>
      </c>
      <c r="P33" s="465">
        <v>1514</v>
      </c>
      <c r="Q33" s="216">
        <v>1908</v>
      </c>
      <c r="R33" s="465">
        <v>1968</v>
      </c>
      <c r="S33" s="465">
        <v>2549</v>
      </c>
      <c r="T33" s="465">
        <v>1249</v>
      </c>
      <c r="U33" s="216">
        <v>202</v>
      </c>
      <c r="V33" s="465">
        <v>232</v>
      </c>
      <c r="W33" s="465">
        <v>290</v>
      </c>
      <c r="X33" s="465">
        <v>66</v>
      </c>
      <c r="Y33" s="216">
        <v>160</v>
      </c>
      <c r="Z33" s="465">
        <v>261</v>
      </c>
      <c r="AA33" s="465">
        <v>272</v>
      </c>
      <c r="AB33" s="465">
        <v>357</v>
      </c>
      <c r="AC33" s="216">
        <v>482</v>
      </c>
      <c r="AD33" s="212">
        <v>722</v>
      </c>
      <c r="AE33" s="212">
        <v>738</v>
      </c>
      <c r="AF33" s="212">
        <v>353</v>
      </c>
      <c r="AG33" s="212">
        <v>594</v>
      </c>
      <c r="AH33" s="174">
        <v>617</v>
      </c>
      <c r="AI33" s="216">
        <v>520</v>
      </c>
      <c r="AJ33" s="216">
        <v>889</v>
      </c>
      <c r="AK33" s="216">
        <v>691</v>
      </c>
      <c r="AL33" s="89"/>
      <c r="AM33" s="610">
        <v>10886</v>
      </c>
      <c r="AN33" s="610">
        <v>10292</v>
      </c>
      <c r="AO33" s="31">
        <v>594</v>
      </c>
      <c r="AP33" s="30">
        <v>0.0577147298872911</v>
      </c>
      <c r="AQ33" s="83"/>
      <c r="AR33" s="201">
        <v>13200</v>
      </c>
      <c r="AS33" s="201">
        <v>7985</v>
      </c>
      <c r="AT33" s="201">
        <v>5968</v>
      </c>
      <c r="AU33" s="201">
        <v>748</v>
      </c>
      <c r="AV33" s="201">
        <v>1372</v>
      </c>
      <c r="AW33" s="201">
        <v>2407</v>
      </c>
      <c r="AX33" s="201">
        <v>2717</v>
      </c>
      <c r="AY33" s="43">
        <v>1789</v>
      </c>
      <c r="AZ33" s="43">
        <v>611</v>
      </c>
      <c r="BA33" s="43">
        <v>35</v>
      </c>
      <c r="BB33" s="3"/>
      <c r="BD33" s="3"/>
      <c r="BE33" s="3"/>
      <c r="BF33" s="3"/>
      <c r="BG33" s="3"/>
    </row>
    <row r="34" spans="1:59" ht="12.75" customHeight="1">
      <c r="A34" s="8"/>
      <c r="B34" s="166" t="s">
        <v>78</v>
      </c>
      <c r="C34" s="38">
        <v>-2528</v>
      </c>
      <c r="D34" s="30">
        <v>-0.16949379818974186</v>
      </c>
      <c r="E34" s="592"/>
      <c r="F34" s="465"/>
      <c r="G34" s="465">
        <v>12387</v>
      </c>
      <c r="H34" s="465">
        <v>12092</v>
      </c>
      <c r="I34" s="216">
        <v>12352</v>
      </c>
      <c r="J34" s="465">
        <v>11771</v>
      </c>
      <c r="K34" s="465">
        <v>14915</v>
      </c>
      <c r="L34" s="465">
        <v>13669</v>
      </c>
      <c r="M34" s="216">
        <v>15129</v>
      </c>
      <c r="N34" s="465">
        <v>11583</v>
      </c>
      <c r="O34" s="465">
        <v>8697</v>
      </c>
      <c r="P34" s="465">
        <v>10314</v>
      </c>
      <c r="Q34" s="216">
        <v>9346</v>
      </c>
      <c r="R34" s="465">
        <v>8959</v>
      </c>
      <c r="S34" s="465">
        <v>9264</v>
      </c>
      <c r="T34" s="465">
        <v>8110</v>
      </c>
      <c r="U34" s="216">
        <v>8987</v>
      </c>
      <c r="V34" s="465">
        <v>4283</v>
      </c>
      <c r="W34" s="465">
        <v>5794</v>
      </c>
      <c r="X34" s="465">
        <v>5244</v>
      </c>
      <c r="Y34" s="216">
        <v>5901</v>
      </c>
      <c r="Z34" s="465">
        <v>5237</v>
      </c>
      <c r="AA34" s="465">
        <v>8873</v>
      </c>
      <c r="AB34" s="465">
        <v>12243</v>
      </c>
      <c r="AC34" s="216">
        <v>12065</v>
      </c>
      <c r="AD34" s="212">
        <v>10920</v>
      </c>
      <c r="AE34" s="212">
        <v>8753</v>
      </c>
      <c r="AF34" s="212">
        <v>9885</v>
      </c>
      <c r="AG34" s="212">
        <v>10397</v>
      </c>
      <c r="AH34" s="174">
        <v>10292</v>
      </c>
      <c r="AI34" s="216">
        <v>7376</v>
      </c>
      <c r="AJ34" s="216">
        <v>8470</v>
      </c>
      <c r="AK34" s="216">
        <v>8715</v>
      </c>
      <c r="AL34" s="89"/>
      <c r="AM34" s="610">
        <v>36831</v>
      </c>
      <c r="AN34" s="610">
        <v>43713</v>
      </c>
      <c r="AO34" s="31">
        <v>-6882</v>
      </c>
      <c r="AP34" s="30">
        <v>-0.15743600301969665</v>
      </c>
      <c r="AQ34" s="83"/>
      <c r="AR34" s="201">
        <v>55484</v>
      </c>
      <c r="AS34" s="201">
        <v>39940</v>
      </c>
      <c r="AT34" s="201">
        <v>35320</v>
      </c>
      <c r="AU34" s="201">
        <v>21222</v>
      </c>
      <c r="AV34" s="201">
        <v>38418</v>
      </c>
      <c r="AW34" s="201">
        <v>39955</v>
      </c>
      <c r="AX34" s="201">
        <v>34853</v>
      </c>
      <c r="AY34" s="43">
        <v>19998</v>
      </c>
      <c r="AZ34" s="43">
        <v>13448</v>
      </c>
      <c r="BA34" s="43">
        <v>7632</v>
      </c>
      <c r="BB34" s="3"/>
      <c r="BD34" s="3"/>
      <c r="BE34" s="3"/>
      <c r="BF34" s="3"/>
      <c r="BG34" s="3"/>
    </row>
    <row r="35" spans="1:59" ht="12.75" customHeight="1">
      <c r="A35" s="8"/>
      <c r="B35" s="166" t="s">
        <v>79</v>
      </c>
      <c r="C35" s="38">
        <v>-1261</v>
      </c>
      <c r="D35" s="30">
        <v>-0.25179712460063897</v>
      </c>
      <c r="E35" s="592"/>
      <c r="F35" s="465"/>
      <c r="G35" s="465">
        <v>3747</v>
      </c>
      <c r="H35" s="465">
        <v>3319</v>
      </c>
      <c r="I35" s="216">
        <v>3691</v>
      </c>
      <c r="J35" s="465">
        <v>5103</v>
      </c>
      <c r="K35" s="465">
        <v>5008</v>
      </c>
      <c r="L35" s="465">
        <v>5183</v>
      </c>
      <c r="M35" s="216">
        <v>5780</v>
      </c>
      <c r="N35" s="465">
        <v>3472</v>
      </c>
      <c r="O35" s="465">
        <v>2933</v>
      </c>
      <c r="P35" s="465">
        <v>2057</v>
      </c>
      <c r="Q35" s="216">
        <v>1802</v>
      </c>
      <c r="R35" s="465">
        <v>1773</v>
      </c>
      <c r="S35" s="465">
        <v>1829</v>
      </c>
      <c r="T35" s="465">
        <v>2788</v>
      </c>
      <c r="U35" s="216">
        <v>2348</v>
      </c>
      <c r="V35" s="465">
        <v>846</v>
      </c>
      <c r="W35" s="465">
        <v>903</v>
      </c>
      <c r="X35" s="465">
        <v>926</v>
      </c>
      <c r="Y35" s="216">
        <v>958</v>
      </c>
      <c r="Z35" s="465">
        <v>1009</v>
      </c>
      <c r="AA35" s="465">
        <v>1586</v>
      </c>
      <c r="AB35" s="465">
        <v>926</v>
      </c>
      <c r="AC35" s="216">
        <v>912</v>
      </c>
      <c r="AD35" s="212">
        <v>998</v>
      </c>
      <c r="AE35" s="212">
        <v>984</v>
      </c>
      <c r="AF35" s="212">
        <v>985</v>
      </c>
      <c r="AG35" s="212">
        <v>911</v>
      </c>
      <c r="AH35" s="174">
        <v>895</v>
      </c>
      <c r="AI35" s="216">
        <v>785</v>
      </c>
      <c r="AJ35" s="216">
        <v>1291</v>
      </c>
      <c r="AK35" s="216">
        <v>950</v>
      </c>
      <c r="AL35" s="89"/>
      <c r="AM35" s="610">
        <v>10757</v>
      </c>
      <c r="AN35" s="610">
        <v>15971</v>
      </c>
      <c r="AO35" s="31">
        <v>-5214</v>
      </c>
      <c r="AP35" s="30">
        <v>-0.32646672093168866</v>
      </c>
      <c r="AQ35" s="83"/>
      <c r="AR35" s="201">
        <v>21074</v>
      </c>
      <c r="AS35" s="201">
        <v>10264</v>
      </c>
      <c r="AT35" s="201">
        <v>8738</v>
      </c>
      <c r="AU35" s="201">
        <v>3633</v>
      </c>
      <c r="AV35" s="201">
        <v>4433</v>
      </c>
      <c r="AW35" s="201">
        <v>3878</v>
      </c>
      <c r="AX35" s="201">
        <v>3921</v>
      </c>
      <c r="AY35" s="43">
        <v>1910</v>
      </c>
      <c r="AZ35" s="43">
        <v>1204</v>
      </c>
      <c r="BA35" s="43">
        <v>1291</v>
      </c>
      <c r="BB35" s="3"/>
      <c r="BD35" s="3"/>
      <c r="BE35" s="3"/>
      <c r="BF35" s="3"/>
      <c r="BG35" s="3"/>
    </row>
    <row r="36" spans="1:59" ht="12.75">
      <c r="A36" s="7"/>
      <c r="B36" s="166" t="s">
        <v>80</v>
      </c>
      <c r="C36" s="38">
        <v>-1726</v>
      </c>
      <c r="D36" s="30">
        <v>-0.6151104775481112</v>
      </c>
      <c r="E36" s="592"/>
      <c r="F36" s="465"/>
      <c r="G36" s="465">
        <v>1080</v>
      </c>
      <c r="H36" s="465">
        <v>4412</v>
      </c>
      <c r="I36" s="216">
        <v>2098</v>
      </c>
      <c r="J36" s="465">
        <v>956</v>
      </c>
      <c r="K36" s="465">
        <v>2806</v>
      </c>
      <c r="L36" s="465">
        <v>2025</v>
      </c>
      <c r="M36" s="216">
        <v>2158</v>
      </c>
      <c r="N36" s="465">
        <v>2098</v>
      </c>
      <c r="O36" s="465">
        <v>3205</v>
      </c>
      <c r="P36" s="465">
        <v>2536</v>
      </c>
      <c r="Q36" s="216">
        <v>3150</v>
      </c>
      <c r="R36" s="465">
        <v>2605</v>
      </c>
      <c r="S36" s="465">
        <v>2930</v>
      </c>
      <c r="T36" s="465">
        <v>2786</v>
      </c>
      <c r="U36" s="216">
        <v>2489</v>
      </c>
      <c r="V36" s="465">
        <v>3105</v>
      </c>
      <c r="W36" s="465">
        <v>2464</v>
      </c>
      <c r="X36" s="465">
        <v>1787</v>
      </c>
      <c r="Y36" s="216">
        <v>2944</v>
      </c>
      <c r="Z36" s="465">
        <v>3212</v>
      </c>
      <c r="AA36" s="465">
        <v>4251</v>
      </c>
      <c r="AB36" s="465">
        <v>3682</v>
      </c>
      <c r="AC36" s="216">
        <v>4123</v>
      </c>
      <c r="AD36" s="212">
        <v>6398</v>
      </c>
      <c r="AE36" s="212">
        <v>3936</v>
      </c>
      <c r="AF36" s="212">
        <v>5582</v>
      </c>
      <c r="AG36" s="212">
        <v>4292</v>
      </c>
      <c r="AH36" s="174">
        <v>3663</v>
      </c>
      <c r="AI36" s="216">
        <v>2463</v>
      </c>
      <c r="AJ36" s="216">
        <v>3310</v>
      </c>
      <c r="AK36" s="216">
        <v>1287</v>
      </c>
      <c r="AL36" s="89"/>
      <c r="AM36" s="610">
        <v>7590</v>
      </c>
      <c r="AN36" s="610">
        <v>6989</v>
      </c>
      <c r="AO36" s="31">
        <v>601</v>
      </c>
      <c r="AP36" s="30">
        <v>0.08599227357275718</v>
      </c>
      <c r="AQ36" s="83"/>
      <c r="AR36" s="201">
        <v>7945</v>
      </c>
      <c r="AS36" s="201">
        <v>10989</v>
      </c>
      <c r="AT36" s="201">
        <v>10810</v>
      </c>
      <c r="AU36" s="201">
        <v>10300</v>
      </c>
      <c r="AV36" s="201">
        <v>15268</v>
      </c>
      <c r="AW36" s="201">
        <v>20208</v>
      </c>
      <c r="AX36" s="201">
        <v>10723</v>
      </c>
      <c r="AY36" s="43">
        <v>1239</v>
      </c>
      <c r="AZ36" s="43">
        <v>682</v>
      </c>
      <c r="BA36" s="43">
        <v>836</v>
      </c>
      <c r="BB36" s="3"/>
      <c r="BD36" s="3"/>
      <c r="BE36" s="3"/>
      <c r="BF36" s="3"/>
      <c r="BG36" s="3"/>
    </row>
    <row r="37" spans="1:59" ht="12.75" customHeight="1">
      <c r="A37" s="8"/>
      <c r="B37" s="7" t="s">
        <v>193</v>
      </c>
      <c r="C37" s="38">
        <v>-5276</v>
      </c>
      <c r="D37" s="30">
        <v>-1</v>
      </c>
      <c r="E37" s="592"/>
      <c r="F37" s="214"/>
      <c r="G37" s="214">
        <v>0</v>
      </c>
      <c r="H37" s="214">
        <v>5486</v>
      </c>
      <c r="I37" s="217">
        <v>0</v>
      </c>
      <c r="J37" s="214">
        <v>5561</v>
      </c>
      <c r="K37" s="214">
        <v>5276</v>
      </c>
      <c r="L37" s="214">
        <v>4395</v>
      </c>
      <c r="M37" s="217">
        <v>0</v>
      </c>
      <c r="N37" s="214">
        <v>27786</v>
      </c>
      <c r="O37" s="214">
        <v>1292</v>
      </c>
      <c r="P37" s="214">
        <v>0</v>
      </c>
      <c r="Q37" s="217">
        <v>0</v>
      </c>
      <c r="R37" s="214">
        <v>0</v>
      </c>
      <c r="S37" s="214">
        <v>0</v>
      </c>
      <c r="T37" s="214">
        <v>0</v>
      </c>
      <c r="U37" s="217">
        <v>0</v>
      </c>
      <c r="V37" s="214">
        <v>0</v>
      </c>
      <c r="W37" s="214">
        <v>0</v>
      </c>
      <c r="X37" s="214">
        <v>0</v>
      </c>
      <c r="Y37" s="217">
        <v>0</v>
      </c>
      <c r="Z37" s="465">
        <v>22</v>
      </c>
      <c r="AA37" s="465">
        <v>5949</v>
      </c>
      <c r="AB37" s="214">
        <v>0</v>
      </c>
      <c r="AC37" s="217">
        <v>0</v>
      </c>
      <c r="AD37" s="484">
        <v>1000</v>
      </c>
      <c r="AE37" s="214">
        <v>0</v>
      </c>
      <c r="AF37" s="214">
        <v>0</v>
      </c>
      <c r="AG37" s="214">
        <v>0</v>
      </c>
      <c r="AH37" s="215">
        <v>0</v>
      </c>
      <c r="AI37" s="217">
        <v>0</v>
      </c>
      <c r="AJ37" s="216"/>
      <c r="AK37" s="216"/>
      <c r="AL37" s="89"/>
      <c r="AM37" s="610">
        <v>5486</v>
      </c>
      <c r="AN37" s="610">
        <v>9671</v>
      </c>
      <c r="AO37" s="31">
        <v>-4185</v>
      </c>
      <c r="AP37" s="30">
        <v>-0.4327370489091097</v>
      </c>
      <c r="AQ37" s="83"/>
      <c r="AR37" s="201">
        <v>15232</v>
      </c>
      <c r="AS37" s="204">
        <v>29078</v>
      </c>
      <c r="AT37" s="204">
        <v>0</v>
      </c>
      <c r="AU37" s="204">
        <v>0</v>
      </c>
      <c r="AV37" s="205">
        <v>5971</v>
      </c>
      <c r="AW37" s="43">
        <v>1000</v>
      </c>
      <c r="AX37" s="43">
        <v>0</v>
      </c>
      <c r="AY37" s="43">
        <v>0</v>
      </c>
      <c r="AZ37" s="43">
        <v>0</v>
      </c>
      <c r="BA37" s="43">
        <v>0</v>
      </c>
      <c r="BB37" s="3"/>
      <c r="BD37" s="3"/>
      <c r="BE37" s="3"/>
      <c r="BF37" s="3"/>
      <c r="BG37" s="3"/>
    </row>
    <row r="38" spans="1:59" ht="12.75" customHeight="1">
      <c r="A38" s="7"/>
      <c r="B38" s="7" t="s">
        <v>218</v>
      </c>
      <c r="C38" s="38">
        <v>0</v>
      </c>
      <c r="D38" s="30">
        <v>0</v>
      </c>
      <c r="E38" s="592"/>
      <c r="F38" s="214"/>
      <c r="G38" s="214">
        <v>0</v>
      </c>
      <c r="H38" s="214">
        <v>0</v>
      </c>
      <c r="I38" s="217">
        <v>0</v>
      </c>
      <c r="J38" s="214">
        <v>0</v>
      </c>
      <c r="K38" s="214">
        <v>0</v>
      </c>
      <c r="L38" s="214">
        <v>388</v>
      </c>
      <c r="M38" s="217">
        <v>0</v>
      </c>
      <c r="N38" s="214">
        <v>6323</v>
      </c>
      <c r="O38" s="214">
        <v>2700</v>
      </c>
      <c r="P38" s="214">
        <v>1443</v>
      </c>
      <c r="Q38" s="217">
        <v>0</v>
      </c>
      <c r="R38" s="214">
        <v>0</v>
      </c>
      <c r="S38" s="214">
        <v>1750</v>
      </c>
      <c r="T38" s="214">
        <v>0</v>
      </c>
      <c r="U38" s="217">
        <v>10990</v>
      </c>
      <c r="V38" s="214">
        <v>5000</v>
      </c>
      <c r="W38" s="214">
        <v>0</v>
      </c>
      <c r="X38" s="214">
        <v>0</v>
      </c>
      <c r="Y38" s="217">
        <v>0</v>
      </c>
      <c r="Z38" s="214">
        <v>0</v>
      </c>
      <c r="AA38" s="214">
        <v>0</v>
      </c>
      <c r="AB38" s="214">
        <v>0</v>
      </c>
      <c r="AC38" s="217">
        <v>0</v>
      </c>
      <c r="AD38" s="215">
        <v>0</v>
      </c>
      <c r="AE38" s="214"/>
      <c r="AF38" s="214"/>
      <c r="AG38" s="214"/>
      <c r="AH38" s="215"/>
      <c r="AI38" s="217"/>
      <c r="AJ38" s="217"/>
      <c r="AK38" s="217"/>
      <c r="AL38" s="89"/>
      <c r="AM38" s="610">
        <v>0</v>
      </c>
      <c r="AN38" s="610">
        <v>388</v>
      </c>
      <c r="AO38" s="213">
        <v>-388</v>
      </c>
      <c r="AP38" s="30">
        <v>-1</v>
      </c>
      <c r="AQ38" s="83"/>
      <c r="AR38" s="201">
        <v>388</v>
      </c>
      <c r="AS38" s="201">
        <v>10466</v>
      </c>
      <c r="AT38" s="201">
        <v>12740</v>
      </c>
      <c r="AU38" s="205">
        <v>5000</v>
      </c>
      <c r="AV38" s="204">
        <v>0</v>
      </c>
      <c r="AW38" s="204">
        <v>0</v>
      </c>
      <c r="AX38" s="204">
        <v>0</v>
      </c>
      <c r="AY38" s="204">
        <v>0</v>
      </c>
      <c r="AZ38" s="204"/>
      <c r="BA38" s="204"/>
      <c r="BB38" s="3"/>
      <c r="BD38" s="3"/>
      <c r="BE38" s="3"/>
      <c r="BF38" s="3"/>
      <c r="BG38" s="3"/>
    </row>
    <row r="39" spans="1:59" ht="12.75" hidden="1">
      <c r="A39" s="7"/>
      <c r="B39" s="83" t="s">
        <v>81</v>
      </c>
      <c r="C39" s="38">
        <v>0</v>
      </c>
      <c r="D39" s="588">
        <v>0</v>
      </c>
      <c r="E39" s="592"/>
      <c r="F39" s="213"/>
      <c r="G39" s="213"/>
      <c r="H39" s="213">
        <v>0</v>
      </c>
      <c r="I39" s="217">
        <v>0</v>
      </c>
      <c r="J39" s="213">
        <v>0</v>
      </c>
      <c r="K39" s="213">
        <v>0</v>
      </c>
      <c r="L39" s="213">
        <v>0</v>
      </c>
      <c r="M39" s="217">
        <v>0</v>
      </c>
      <c r="N39" s="213">
        <v>0</v>
      </c>
      <c r="O39" s="213">
        <v>0</v>
      </c>
      <c r="P39" s="213">
        <v>0</v>
      </c>
      <c r="Q39" s="217">
        <v>0</v>
      </c>
      <c r="R39" s="213">
        <v>0</v>
      </c>
      <c r="S39" s="213">
        <v>0</v>
      </c>
      <c r="T39" s="213">
        <v>0</v>
      </c>
      <c r="U39" s="217">
        <v>0</v>
      </c>
      <c r="V39" s="213">
        <v>0</v>
      </c>
      <c r="W39" s="213">
        <v>0</v>
      </c>
      <c r="X39" s="213">
        <v>0</v>
      </c>
      <c r="Y39" s="217">
        <v>0</v>
      </c>
      <c r="Z39" s="213">
        <v>0</v>
      </c>
      <c r="AA39" s="213">
        <v>0</v>
      </c>
      <c r="AB39" s="213">
        <v>0</v>
      </c>
      <c r="AC39" s="217">
        <v>0</v>
      </c>
      <c r="AD39" s="212">
        <v>983</v>
      </c>
      <c r="AE39" s="212">
        <v>1101</v>
      </c>
      <c r="AF39" s="212">
        <v>1146</v>
      </c>
      <c r="AG39" s="213">
        <v>0</v>
      </c>
      <c r="AH39" s="175">
        <v>0</v>
      </c>
      <c r="AI39" s="168">
        <v>0</v>
      </c>
      <c r="AJ39" s="168">
        <v>0</v>
      </c>
      <c r="AK39" s="168">
        <v>0</v>
      </c>
      <c r="AL39" s="89"/>
      <c r="AM39" s="850">
        <v>0</v>
      </c>
      <c r="AN39" s="850">
        <v>0</v>
      </c>
      <c r="AO39" s="31">
        <v>0</v>
      </c>
      <c r="AP39" s="30" t="e">
        <v>#DIV/0!</v>
      </c>
      <c r="AQ39" s="89"/>
      <c r="AR39" s="213">
        <v>0</v>
      </c>
      <c r="AS39" s="204">
        <v>0</v>
      </c>
      <c r="AT39" s="204">
        <v>0</v>
      </c>
      <c r="AU39" s="204">
        <v>0</v>
      </c>
      <c r="AV39" s="204">
        <v>0</v>
      </c>
      <c r="AW39" s="201">
        <v>3230</v>
      </c>
      <c r="AX39" s="204">
        <v>0</v>
      </c>
      <c r="AY39" s="43">
        <v>0</v>
      </c>
      <c r="AZ39" s="43">
        <v>0</v>
      </c>
      <c r="BA39" s="43">
        <v>0</v>
      </c>
      <c r="BB39" s="3"/>
      <c r="BD39" s="3"/>
      <c r="BE39" s="3"/>
      <c r="BF39" s="3"/>
      <c r="BG39" s="3"/>
    </row>
    <row r="40" spans="1:59" ht="12.75">
      <c r="A40" s="7"/>
      <c r="B40" s="7" t="s">
        <v>191</v>
      </c>
      <c r="C40" s="38">
        <v>0</v>
      </c>
      <c r="D40" s="588">
        <v>0</v>
      </c>
      <c r="E40" s="592"/>
      <c r="F40" s="214"/>
      <c r="G40" s="214">
        <v>0</v>
      </c>
      <c r="H40" s="214">
        <v>0</v>
      </c>
      <c r="I40" s="217">
        <v>0</v>
      </c>
      <c r="J40" s="214">
        <v>0</v>
      </c>
      <c r="K40" s="214">
        <v>0</v>
      </c>
      <c r="L40" s="214">
        <v>0</v>
      </c>
      <c r="M40" s="217">
        <v>0</v>
      </c>
      <c r="N40" s="214">
        <v>0</v>
      </c>
      <c r="O40" s="214">
        <v>0</v>
      </c>
      <c r="P40" s="214">
        <v>0</v>
      </c>
      <c r="Q40" s="217">
        <v>0</v>
      </c>
      <c r="R40" s="214">
        <v>0</v>
      </c>
      <c r="S40" s="214">
        <v>0</v>
      </c>
      <c r="T40" s="214">
        <v>0</v>
      </c>
      <c r="U40" s="217">
        <v>0</v>
      </c>
      <c r="V40" s="214">
        <v>0</v>
      </c>
      <c r="W40" s="214">
        <v>0</v>
      </c>
      <c r="X40" s="214">
        <v>0</v>
      </c>
      <c r="Y40" s="217">
        <v>0</v>
      </c>
      <c r="Z40" s="214">
        <v>0</v>
      </c>
      <c r="AA40" s="214">
        <v>31524</v>
      </c>
      <c r="AB40" s="214">
        <v>0</v>
      </c>
      <c r="AC40" s="217">
        <v>0</v>
      </c>
      <c r="AD40" s="215">
        <v>0</v>
      </c>
      <c r="AE40" s="214">
        <v>0</v>
      </c>
      <c r="AF40" s="214">
        <v>0</v>
      </c>
      <c r="AG40" s="214">
        <v>0</v>
      </c>
      <c r="AH40" s="215">
        <v>0</v>
      </c>
      <c r="AI40" s="217">
        <v>0</v>
      </c>
      <c r="AJ40" s="217"/>
      <c r="AK40" s="217"/>
      <c r="AL40" s="89"/>
      <c r="AM40" s="850">
        <v>0</v>
      </c>
      <c r="AN40" s="850">
        <v>0</v>
      </c>
      <c r="AO40" s="213">
        <v>0</v>
      </c>
      <c r="AP40" s="30">
        <v>0</v>
      </c>
      <c r="AQ40" s="89"/>
      <c r="AR40" s="214">
        <v>0</v>
      </c>
      <c r="AS40" s="204">
        <v>0</v>
      </c>
      <c r="AT40" s="204">
        <v>0</v>
      </c>
      <c r="AU40" s="204">
        <v>0</v>
      </c>
      <c r="AV40" s="205">
        <v>31524</v>
      </c>
      <c r="AW40" s="204">
        <v>0</v>
      </c>
      <c r="AX40" s="204">
        <v>0</v>
      </c>
      <c r="AY40" s="204">
        <v>0</v>
      </c>
      <c r="AZ40" s="204">
        <v>0</v>
      </c>
      <c r="BA40" s="204">
        <v>0</v>
      </c>
      <c r="BB40" s="3"/>
      <c r="BD40" s="3"/>
      <c r="BE40" s="3"/>
      <c r="BF40" s="3"/>
      <c r="BG40" s="3"/>
    </row>
    <row r="41" spans="1:59" ht="12.75" customHeight="1">
      <c r="A41" s="8"/>
      <c r="B41" s="7"/>
      <c r="C41" s="169">
        <v>-4029</v>
      </c>
      <c r="D41" s="599">
        <v>-0.02774812498708669</v>
      </c>
      <c r="E41" s="592"/>
      <c r="F41" s="220">
        <v>0</v>
      </c>
      <c r="G41" s="220">
        <v>141170</v>
      </c>
      <c r="H41" s="220">
        <v>124884</v>
      </c>
      <c r="I41" s="221">
        <v>117011</v>
      </c>
      <c r="J41" s="220">
        <v>141520</v>
      </c>
      <c r="K41" s="220">
        <v>145199</v>
      </c>
      <c r="L41" s="220">
        <v>126083</v>
      </c>
      <c r="M41" s="221">
        <v>121025</v>
      </c>
      <c r="N41" s="220">
        <v>139001</v>
      </c>
      <c r="O41" s="220">
        <v>83160</v>
      </c>
      <c r="P41" s="220">
        <v>72012</v>
      </c>
      <c r="Q41" s="221">
        <v>80971</v>
      </c>
      <c r="R41" s="220">
        <v>108607</v>
      </c>
      <c r="S41" s="220">
        <v>118296</v>
      </c>
      <c r="T41" s="220">
        <v>77614</v>
      </c>
      <c r="U41" s="221">
        <v>86565</v>
      </c>
      <c r="V41" s="220">
        <v>71336</v>
      </c>
      <c r="W41" s="220">
        <v>88110</v>
      </c>
      <c r="X41" s="220">
        <v>64018</v>
      </c>
      <c r="Y41" s="221">
        <v>69132</v>
      </c>
      <c r="Z41" s="220">
        <v>54540</v>
      </c>
      <c r="AA41" s="220">
        <v>95770</v>
      </c>
      <c r="AB41" s="220">
        <v>63150</v>
      </c>
      <c r="AC41" s="221">
        <v>85020</v>
      </c>
      <c r="AD41" s="220">
        <v>75141</v>
      </c>
      <c r="AE41" s="394">
        <v>87449</v>
      </c>
      <c r="AF41" s="221">
        <v>74128</v>
      </c>
      <c r="AG41" s="394">
        <v>106349</v>
      </c>
      <c r="AH41" s="224">
        <v>100905</v>
      </c>
      <c r="AI41" s="225">
        <v>75317</v>
      </c>
      <c r="AJ41" s="225">
        <v>70703</v>
      </c>
      <c r="AK41" s="394">
        <v>91522</v>
      </c>
      <c r="AL41" s="89"/>
      <c r="AM41" s="220">
        <v>383065</v>
      </c>
      <c r="AN41" s="583">
        <v>392307</v>
      </c>
      <c r="AO41" s="389">
        <v>-9242</v>
      </c>
      <c r="AP41" s="170">
        <v>-0.02355808078877002</v>
      </c>
      <c r="AQ41" s="148"/>
      <c r="AR41" s="935">
        <v>533827</v>
      </c>
      <c r="AS41" s="935">
        <v>375144</v>
      </c>
      <c r="AT41" s="935">
        <v>391082</v>
      </c>
      <c r="AU41" s="935">
        <v>292596</v>
      </c>
      <c r="AV41" s="249">
        <v>298480</v>
      </c>
      <c r="AW41" s="202">
        <v>343067</v>
      </c>
      <c r="AX41" s="202">
        <v>338447</v>
      </c>
      <c r="AY41" s="355">
        <v>231683</v>
      </c>
      <c r="AZ41" s="355">
        <v>173735</v>
      </c>
      <c r="BA41" s="355">
        <v>154490</v>
      </c>
      <c r="BB41" s="3"/>
      <c r="BD41" s="3"/>
      <c r="BE41" s="3"/>
      <c r="BF41" s="3"/>
      <c r="BG41" s="3"/>
    </row>
    <row r="42" spans="1:59" s="96" customFormat="1" ht="24.75" customHeight="1" thickBot="1">
      <c r="A42" s="1443" t="s">
        <v>216</v>
      </c>
      <c r="B42" s="1444"/>
      <c r="C42" s="38">
        <v>9638</v>
      </c>
      <c r="D42" s="598">
        <v>0.47184960344658766</v>
      </c>
      <c r="E42" s="592"/>
      <c r="F42" s="234">
        <v>0</v>
      </c>
      <c r="G42" s="248">
        <v>30064</v>
      </c>
      <c r="H42" s="248">
        <v>1807</v>
      </c>
      <c r="I42" s="236">
        <v>14195</v>
      </c>
      <c r="J42" s="247">
        <v>12477</v>
      </c>
      <c r="K42" s="248">
        <v>20426</v>
      </c>
      <c r="L42" s="1345">
        <v>-5973</v>
      </c>
      <c r="M42" s="951">
        <v>-19724</v>
      </c>
      <c r="N42" s="1346">
        <v>-25934</v>
      </c>
      <c r="O42" s="1345">
        <v>10421</v>
      </c>
      <c r="P42" s="1345">
        <v>-2560</v>
      </c>
      <c r="Q42" s="249">
        <v>16406</v>
      </c>
      <c r="R42" s="234">
        <v>55164</v>
      </c>
      <c r="S42" s="234">
        <v>59462</v>
      </c>
      <c r="T42" s="234">
        <v>19349</v>
      </c>
      <c r="U42" s="236">
        <v>13587</v>
      </c>
      <c r="V42" s="234">
        <v>12160</v>
      </c>
      <c r="W42" s="234">
        <v>27980</v>
      </c>
      <c r="X42" s="234">
        <v>14457</v>
      </c>
      <c r="Y42" s="234">
        <v>16365</v>
      </c>
      <c r="Z42" s="237">
        <v>10432</v>
      </c>
      <c r="AA42" s="234">
        <v>-46520</v>
      </c>
      <c r="AB42" s="234">
        <v>-4814</v>
      </c>
      <c r="AC42" s="234">
        <v>19773</v>
      </c>
      <c r="AD42" s="237">
        <v>2824</v>
      </c>
      <c r="AE42" s="248">
        <v>22134</v>
      </c>
      <c r="AF42" s="249">
        <v>14943</v>
      </c>
      <c r="AG42" s="248">
        <v>48674</v>
      </c>
      <c r="AH42" s="248">
        <v>29246</v>
      </c>
      <c r="AI42" s="248">
        <v>26110</v>
      </c>
      <c r="AJ42" s="248">
        <v>22330</v>
      </c>
      <c r="AK42" s="248">
        <v>33584</v>
      </c>
      <c r="AL42" s="89"/>
      <c r="AM42" s="716">
        <v>46066</v>
      </c>
      <c r="AN42" s="1345">
        <v>-5271</v>
      </c>
      <c r="AO42" s="389">
        <v>51337</v>
      </c>
      <c r="AP42" s="170" t="s">
        <v>44</v>
      </c>
      <c r="AQ42"/>
      <c r="AR42" s="1349">
        <v>7206</v>
      </c>
      <c r="AS42" s="1349">
        <v>-1667</v>
      </c>
      <c r="AT42" s="1349">
        <v>147562</v>
      </c>
      <c r="AU42" s="1349">
        <v>70962</v>
      </c>
      <c r="AV42" s="202">
        <v>-21129</v>
      </c>
      <c r="AW42" s="202">
        <v>88575</v>
      </c>
      <c r="AX42" s="202">
        <v>111270</v>
      </c>
      <c r="AY42" s="302">
        <v>101983</v>
      </c>
      <c r="AZ42" s="254">
        <v>65919</v>
      </c>
      <c r="BA42" s="384">
        <v>57268</v>
      </c>
      <c r="BB42" s="561"/>
      <c r="BC42" s="562"/>
      <c r="BD42" s="563"/>
      <c r="BE42" s="563"/>
      <c r="BF42" s="210"/>
      <c r="BG42" s="210"/>
    </row>
    <row r="43" spans="1:59" s="96" customFormat="1" ht="13.5" thickTop="1">
      <c r="A43" s="537"/>
      <c r="B43" s="546" t="s">
        <v>451</v>
      </c>
      <c r="C43" s="169">
        <v>1308</v>
      </c>
      <c r="D43" s="170">
        <v>1.5424528301886793</v>
      </c>
      <c r="E43" s="592"/>
      <c r="F43" s="234"/>
      <c r="G43" s="1345">
        <v>2156</v>
      </c>
      <c r="H43" s="1345">
        <v>1833</v>
      </c>
      <c r="I43" s="951">
        <v>2303</v>
      </c>
      <c r="J43" s="621">
        <v>510</v>
      </c>
      <c r="K43" s="621">
        <v>848</v>
      </c>
      <c r="L43" s="621">
        <v>504</v>
      </c>
      <c r="M43" s="941">
        <v>1704</v>
      </c>
      <c r="N43" s="621">
        <v>3107</v>
      </c>
      <c r="O43" s="621">
        <v>2615</v>
      </c>
      <c r="P43" s="621">
        <v>3104</v>
      </c>
      <c r="Q43" s="852">
        <v>3041</v>
      </c>
      <c r="R43" s="851"/>
      <c r="S43" s="234"/>
      <c r="T43" s="234"/>
      <c r="U43" s="238"/>
      <c r="V43" s="234"/>
      <c r="W43" s="234"/>
      <c r="X43" s="234"/>
      <c r="Y43" s="238"/>
      <c r="Z43" s="542"/>
      <c r="AA43" s="542"/>
      <c r="AB43" s="542"/>
      <c r="AC43" s="543"/>
      <c r="AD43" s="542"/>
      <c r="AE43" s="234"/>
      <c r="AF43" s="238"/>
      <c r="AG43" s="234"/>
      <c r="AH43" s="234"/>
      <c r="AI43" s="234"/>
      <c r="AJ43" s="234"/>
      <c r="AK43" s="234"/>
      <c r="AL43" s="203"/>
      <c r="AM43" s="488">
        <v>6292</v>
      </c>
      <c r="AN43" s="234">
        <v>3056</v>
      </c>
      <c r="AO43" s="389">
        <v>3236</v>
      </c>
      <c r="AP43" s="170">
        <v>1.0589005235602094</v>
      </c>
      <c r="AQ43" s="203"/>
      <c r="AR43" s="851">
        <v>3566</v>
      </c>
      <c r="AS43" s="207">
        <v>11867</v>
      </c>
      <c r="AT43" s="207">
        <v>10903</v>
      </c>
      <c r="AU43" s="207">
        <v>9573</v>
      </c>
      <c r="AV43" s="543" t="s">
        <v>214</v>
      </c>
      <c r="AW43" s="907"/>
      <c r="AX43" s="907"/>
      <c r="AY43" s="908"/>
      <c r="AZ43" s="908"/>
      <c r="BA43" s="254"/>
      <c r="BB43" s="563"/>
      <c r="BC43" s="562"/>
      <c r="BD43" s="563"/>
      <c r="BE43" s="563"/>
      <c r="BF43" s="210"/>
      <c r="BG43" s="210"/>
    </row>
    <row r="44" spans="1:59" s="96" customFormat="1" ht="20.25" customHeight="1" thickBot="1">
      <c r="A44" s="143" t="s">
        <v>262</v>
      </c>
      <c r="B44" s="142"/>
      <c r="C44" s="472">
        <v>8330</v>
      </c>
      <c r="D44" s="600">
        <v>0.42547757687199916</v>
      </c>
      <c r="E44" s="592"/>
      <c r="F44" s="252">
        <v>0</v>
      </c>
      <c r="G44" s="252">
        <v>27908</v>
      </c>
      <c r="H44" s="252">
        <v>-26</v>
      </c>
      <c r="I44" s="1343">
        <v>11892</v>
      </c>
      <c r="J44" s="718">
        <v>11967</v>
      </c>
      <c r="K44" s="718">
        <v>19578</v>
      </c>
      <c r="L44" s="718">
        <v>-6477</v>
      </c>
      <c r="M44" s="718">
        <v>-21428</v>
      </c>
      <c r="N44" s="1344">
        <v>-29041</v>
      </c>
      <c r="O44" s="718">
        <v>7806</v>
      </c>
      <c r="P44" s="718">
        <v>-5664</v>
      </c>
      <c r="Q44" s="253">
        <v>13365</v>
      </c>
      <c r="R44" s="252">
        <v>52615</v>
      </c>
      <c r="S44" s="252">
        <v>56728</v>
      </c>
      <c r="T44" s="252">
        <v>16445</v>
      </c>
      <c r="U44" s="253">
        <v>10871</v>
      </c>
      <c r="V44" s="252">
        <v>9460</v>
      </c>
      <c r="W44" s="252">
        <v>25609</v>
      </c>
      <c r="X44" s="252">
        <v>12266</v>
      </c>
      <c r="Y44" s="253">
        <v>14054</v>
      </c>
      <c r="Z44" s="544" t="s">
        <v>214</v>
      </c>
      <c r="AA44" s="544" t="s">
        <v>214</v>
      </c>
      <c r="AB44" s="544" t="s">
        <v>214</v>
      </c>
      <c r="AC44" s="545" t="s">
        <v>214</v>
      </c>
      <c r="AD44" s="544" t="s">
        <v>214</v>
      </c>
      <c r="AE44" s="234"/>
      <c r="AF44" s="238"/>
      <c r="AG44" s="234"/>
      <c r="AH44" s="234"/>
      <c r="AI44" s="234"/>
      <c r="AJ44" s="234"/>
      <c r="AK44" s="234"/>
      <c r="AL44" s="203"/>
      <c r="AM44" s="718">
        <v>39774</v>
      </c>
      <c r="AN44" s="718">
        <v>-8327</v>
      </c>
      <c r="AO44" s="718">
        <v>48101</v>
      </c>
      <c r="AP44" s="182" t="s">
        <v>44</v>
      </c>
      <c r="AQ44" s="243"/>
      <c r="AR44" s="209">
        <v>3640</v>
      </c>
      <c r="AS44" s="1347">
        <v>-13534</v>
      </c>
      <c r="AT44" s="209">
        <v>136659</v>
      </c>
      <c r="AU44" s="209">
        <v>61389</v>
      </c>
      <c r="AV44" s="545" t="s">
        <v>214</v>
      </c>
      <c r="AW44" s="545" t="s">
        <v>214</v>
      </c>
      <c r="AX44" s="545" t="s">
        <v>214</v>
      </c>
      <c r="AY44" s="568" t="s">
        <v>214</v>
      </c>
      <c r="AZ44" s="568" t="s">
        <v>214</v>
      </c>
      <c r="BA44" s="254"/>
      <c r="BB44" s="563"/>
      <c r="BC44" s="562"/>
      <c r="BD44" s="563"/>
      <c r="BE44" s="563"/>
      <c r="BF44" s="210"/>
      <c r="BG44" s="210"/>
    </row>
    <row r="45" spans="1:59" s="96" customFormat="1" ht="12.75" customHeight="1" hidden="1">
      <c r="A45" s="8"/>
      <c r="B45" s="7"/>
      <c r="C45" s="38"/>
      <c r="D45" s="549" t="e">
        <v>#DIV/0!</v>
      </c>
      <c r="E45" s="41"/>
      <c r="F45" s="234"/>
      <c r="G45" s="234"/>
      <c r="H45" s="234"/>
      <c r="I45" s="238"/>
      <c r="J45" s="234"/>
      <c r="K45" s="234"/>
      <c r="L45" s="234"/>
      <c r="M45" s="238"/>
      <c r="N45" s="234"/>
      <c r="O45" s="234"/>
      <c r="P45" s="234"/>
      <c r="Q45" s="238"/>
      <c r="R45" s="234"/>
      <c r="S45" s="234"/>
      <c r="T45" s="234"/>
      <c r="U45" s="238"/>
      <c r="V45" s="234"/>
      <c r="W45" s="234"/>
      <c r="X45" s="234"/>
      <c r="Y45" s="238"/>
      <c r="Z45" s="234"/>
      <c r="AA45" s="234"/>
      <c r="AB45" s="234"/>
      <c r="AC45" s="238"/>
      <c r="AD45" s="234"/>
      <c r="AE45" s="234"/>
      <c r="AF45" s="238"/>
      <c r="AG45" s="234"/>
      <c r="AH45" s="234"/>
      <c r="AI45" s="234"/>
      <c r="AJ45" s="234"/>
      <c r="AK45" s="234"/>
      <c r="AL45" s="203"/>
      <c r="AM45" s="243"/>
      <c r="AN45" s="243"/>
      <c r="AO45" s="254"/>
      <c r="AP45" s="30" t="e">
        <v>#DIV/0!</v>
      </c>
      <c r="AQ45" s="243"/>
      <c r="AR45" s="234"/>
      <c r="AS45" s="234"/>
      <c r="AT45" s="234"/>
      <c r="AU45" s="234"/>
      <c r="AV45" s="201"/>
      <c r="AW45" s="238"/>
      <c r="AX45" s="238"/>
      <c r="AY45" s="254"/>
      <c r="AZ45" s="302"/>
      <c r="BA45" s="254"/>
      <c r="BB45" s="563"/>
      <c r="BC45" s="562"/>
      <c r="BD45" s="563"/>
      <c r="BE45" s="563"/>
      <c r="BF45" s="210"/>
      <c r="BG45" s="210"/>
    </row>
    <row r="46" spans="1:59" s="96" customFormat="1" ht="12.75" customHeight="1" hidden="1">
      <c r="A46" s="83"/>
      <c r="B46" s="83" t="s">
        <v>6</v>
      </c>
      <c r="C46" s="38">
        <v>-3034</v>
      </c>
      <c r="D46" s="549" t="e">
        <v>#DIV/0!</v>
      </c>
      <c r="E46" s="41"/>
      <c r="F46" s="234"/>
      <c r="G46" s="234"/>
      <c r="H46" s="234"/>
      <c r="I46" s="238"/>
      <c r="J46" s="234"/>
      <c r="K46" s="234"/>
      <c r="L46" s="234"/>
      <c r="M46" s="238"/>
      <c r="N46" s="234"/>
      <c r="O46" s="234"/>
      <c r="P46" s="234"/>
      <c r="Q46" s="238"/>
      <c r="R46" s="234"/>
      <c r="S46" s="234"/>
      <c r="T46" s="234"/>
      <c r="U46" s="238"/>
      <c r="V46" s="234"/>
      <c r="W46" s="234">
        <v>8211</v>
      </c>
      <c r="X46" s="234">
        <v>1672</v>
      </c>
      <c r="Y46" s="238">
        <v>6003</v>
      </c>
      <c r="Z46" s="234">
        <v>3034</v>
      </c>
      <c r="AA46" s="234">
        <v>-3872</v>
      </c>
      <c r="AB46" s="234">
        <v>-991</v>
      </c>
      <c r="AC46" s="238">
        <v>4485</v>
      </c>
      <c r="AD46" s="234">
        <v>2232</v>
      </c>
      <c r="AE46" s="234"/>
      <c r="AF46" s="238"/>
      <c r="AG46" s="234"/>
      <c r="AH46" s="234"/>
      <c r="AI46" s="234"/>
      <c r="AJ46" s="234"/>
      <c r="AK46" s="234"/>
      <c r="AL46" s="203"/>
      <c r="AM46" s="243"/>
      <c r="AN46" s="243"/>
      <c r="AO46" s="254">
        <v>13230</v>
      </c>
      <c r="AP46" s="30" t="e">
        <v>#DIV/0!</v>
      </c>
      <c r="AQ46" s="243"/>
      <c r="AR46" s="234"/>
      <c r="AS46" s="234"/>
      <c r="AT46" s="234">
        <v>15886</v>
      </c>
      <c r="AU46" s="234"/>
      <c r="AV46" s="201">
        <v>-728</v>
      </c>
      <c r="AW46" s="238">
        <v>29848</v>
      </c>
      <c r="AX46" s="238">
        <v>30992</v>
      </c>
      <c r="AY46" s="254">
        <v>27864</v>
      </c>
      <c r="AZ46" s="302">
        <v>17832</v>
      </c>
      <c r="BA46" s="254"/>
      <c r="BB46" s="563"/>
      <c r="BC46" s="562"/>
      <c r="BD46" s="563"/>
      <c r="BE46" s="563"/>
      <c r="BF46" s="210"/>
      <c r="BG46" s="210"/>
    </row>
    <row r="47" spans="1:59" s="96" customFormat="1" ht="12.75" customHeight="1" hidden="1">
      <c r="A47" s="83"/>
      <c r="B47" s="83"/>
      <c r="C47" s="38"/>
      <c r="D47" s="549" t="e">
        <v>#DIV/0!</v>
      </c>
      <c r="E47" s="41"/>
      <c r="F47" s="234"/>
      <c r="G47" s="234"/>
      <c r="H47" s="234"/>
      <c r="I47" s="238"/>
      <c r="J47" s="234"/>
      <c r="K47" s="234"/>
      <c r="L47" s="234"/>
      <c r="M47" s="238"/>
      <c r="N47" s="234"/>
      <c r="O47" s="234"/>
      <c r="P47" s="234"/>
      <c r="Q47" s="238"/>
      <c r="R47" s="234"/>
      <c r="S47" s="234"/>
      <c r="T47" s="234"/>
      <c r="U47" s="238"/>
      <c r="V47" s="234" t="s">
        <v>247</v>
      </c>
      <c r="W47" s="234"/>
      <c r="X47" s="234"/>
      <c r="Y47" s="238"/>
      <c r="Z47" s="234"/>
      <c r="AA47" s="234"/>
      <c r="AB47" s="234"/>
      <c r="AC47" s="238"/>
      <c r="AD47" s="234"/>
      <c r="AE47" s="234"/>
      <c r="AF47" s="238"/>
      <c r="AG47" s="234"/>
      <c r="AH47" s="234"/>
      <c r="AI47" s="234"/>
      <c r="AJ47" s="234"/>
      <c r="AK47" s="234"/>
      <c r="AL47" s="203"/>
      <c r="AM47" s="243"/>
      <c r="AN47" s="243"/>
      <c r="AO47" s="254"/>
      <c r="AP47" s="30" t="e">
        <v>#DIV/0!</v>
      </c>
      <c r="AQ47" s="243"/>
      <c r="AR47" s="234"/>
      <c r="AS47" s="234"/>
      <c r="AT47" s="234"/>
      <c r="AU47" s="234"/>
      <c r="AV47" s="201"/>
      <c r="AW47" s="238"/>
      <c r="AX47" s="238"/>
      <c r="AY47" s="254"/>
      <c r="AZ47" s="302"/>
      <c r="BA47" s="254"/>
      <c r="BB47" s="563"/>
      <c r="BC47" s="562"/>
      <c r="BD47" s="563"/>
      <c r="BE47" s="563"/>
      <c r="BF47" s="210"/>
      <c r="BG47" s="210"/>
    </row>
    <row r="48" spans="1:59" s="96" customFormat="1" ht="12.75" customHeight="1" hidden="1" thickBot="1">
      <c r="A48" s="143" t="s">
        <v>83</v>
      </c>
      <c r="B48" s="83"/>
      <c r="C48" s="472" t="e">
        <v>#VALUE!</v>
      </c>
      <c r="D48" s="550" t="e">
        <v>#VALUE!</v>
      </c>
      <c r="E48" s="41"/>
      <c r="F48" s="252"/>
      <c r="G48" s="252"/>
      <c r="H48" s="252"/>
      <c r="I48" s="253"/>
      <c r="J48" s="252"/>
      <c r="K48" s="252"/>
      <c r="L48" s="252"/>
      <c r="M48" s="253"/>
      <c r="N48" s="252"/>
      <c r="O48" s="252"/>
      <c r="P48" s="252"/>
      <c r="Q48" s="253"/>
      <c r="R48" s="252"/>
      <c r="S48" s="252"/>
      <c r="T48" s="252"/>
      <c r="U48" s="253"/>
      <c r="V48" s="252">
        <v>9460</v>
      </c>
      <c r="W48" s="252">
        <v>17398</v>
      </c>
      <c r="X48" s="252">
        <v>10594</v>
      </c>
      <c r="Y48" s="253">
        <v>8051</v>
      </c>
      <c r="Z48" s="252" t="e">
        <v>#VALUE!</v>
      </c>
      <c r="AA48" s="252" t="e">
        <v>#VALUE!</v>
      </c>
      <c r="AB48" s="252" t="e">
        <v>#VALUE!</v>
      </c>
      <c r="AC48" s="253" t="e">
        <v>#VALUE!</v>
      </c>
      <c r="AD48" s="252" t="e">
        <v>#VALUE!</v>
      </c>
      <c r="AE48" s="252" t="s">
        <v>214</v>
      </c>
      <c r="AF48" s="253" t="s">
        <v>214</v>
      </c>
      <c r="AG48" s="252"/>
      <c r="AH48" s="252"/>
      <c r="AI48" s="252"/>
      <c r="AJ48" s="252"/>
      <c r="AK48" s="252"/>
      <c r="AL48" s="203"/>
      <c r="AM48" s="243"/>
      <c r="AN48" s="243"/>
      <c r="AO48" s="384" t="e">
        <v>#VALUE!</v>
      </c>
      <c r="AP48" s="182" t="e">
        <v>#VALUE!</v>
      </c>
      <c r="AQ48" s="243"/>
      <c r="AR48" s="252"/>
      <c r="AS48" s="252"/>
      <c r="AT48" s="252">
        <v>45503</v>
      </c>
      <c r="AU48" s="252"/>
      <c r="AV48" s="209" t="e">
        <v>#VALUE!</v>
      </c>
      <c r="AW48" s="253" t="e">
        <v>#VALUE!</v>
      </c>
      <c r="AX48" s="253" t="e">
        <v>#VALUE!</v>
      </c>
      <c r="AY48" s="384" t="e">
        <v>#VALUE!</v>
      </c>
      <c r="AZ48" s="370" t="e">
        <v>#VALUE!</v>
      </c>
      <c r="BA48" s="254"/>
      <c r="BB48" s="563"/>
      <c r="BC48" s="562"/>
      <c r="BD48" s="563"/>
      <c r="BE48" s="563"/>
      <c r="BF48" s="210"/>
      <c r="BG48" s="210"/>
    </row>
    <row r="49" spans="1:59" ht="12.75" customHeight="1" thickTop="1">
      <c r="A49" s="144"/>
      <c r="B49" s="144"/>
      <c r="C49" s="31"/>
      <c r="D49" s="41"/>
      <c r="E49" s="41"/>
      <c r="F49" s="41"/>
      <c r="G49" s="41"/>
      <c r="H49" s="41"/>
      <c r="I49" s="148"/>
      <c r="J49" s="41"/>
      <c r="K49" s="41"/>
      <c r="L49" s="41"/>
      <c r="M49" s="148"/>
      <c r="N49" s="41"/>
      <c r="O49" s="41"/>
      <c r="P49" s="41"/>
      <c r="Q49" s="148"/>
      <c r="R49" s="41"/>
      <c r="S49" s="41"/>
      <c r="T49" s="41"/>
      <c r="U49" s="148"/>
      <c r="V49" s="41"/>
      <c r="W49" s="41"/>
      <c r="X49" s="41"/>
      <c r="Y49" s="148"/>
      <c r="Z49" s="41"/>
      <c r="AA49" s="41"/>
      <c r="AB49" s="41"/>
      <c r="AC49" s="148"/>
      <c r="AD49" s="83"/>
      <c r="AE49" s="83"/>
      <c r="AF49" s="83"/>
      <c r="AG49" s="83"/>
      <c r="AH49" s="186"/>
      <c r="AI49" s="186"/>
      <c r="AJ49" s="186"/>
      <c r="AK49" s="186"/>
      <c r="AL49" s="148"/>
      <c r="AM49" s="148"/>
      <c r="AN49" s="148"/>
      <c r="AO49" s="31"/>
      <c r="AP49" s="41"/>
      <c r="AQ49" s="148"/>
      <c r="AR49" s="148"/>
      <c r="AS49" s="148"/>
      <c r="AT49" s="148"/>
      <c r="AU49" s="148"/>
      <c r="AV49" s="148"/>
      <c r="AW49" s="31"/>
      <c r="AX49" s="31"/>
      <c r="AY49" s="31"/>
      <c r="AZ49" s="31"/>
      <c r="BA49" s="31"/>
      <c r="BB49" s="3"/>
      <c r="BD49" s="3"/>
      <c r="BE49" s="3"/>
      <c r="BF49" s="3"/>
      <c r="BG49" s="3"/>
    </row>
    <row r="50" spans="1:59" ht="12.75" customHeight="1">
      <c r="A50" s="7" t="s">
        <v>401</v>
      </c>
      <c r="B50" s="144"/>
      <c r="C50" s="162">
        <v>0.1399860731238156</v>
      </c>
      <c r="D50" s="41"/>
      <c r="E50" s="41"/>
      <c r="F50" s="41" t="e">
        <v>#DIV/0!</v>
      </c>
      <c r="G50" s="41">
        <v>0.46071457771237023</v>
      </c>
      <c r="H50" s="41">
        <v>0.4551309879944116</v>
      </c>
      <c r="I50" s="41">
        <v>0.4119857323598006</v>
      </c>
      <c r="J50" s="41">
        <v>0.49570446177522937</v>
      </c>
      <c r="K50" s="41">
        <v>0.4593147169811321</v>
      </c>
      <c r="L50" s="41">
        <v>0.47807842810756807</v>
      </c>
      <c r="M50" s="41">
        <v>0.4651780337805155</v>
      </c>
      <c r="N50" s="41">
        <v>0.5340727179459966</v>
      </c>
      <c r="O50" s="41">
        <v>0.4246802235496522</v>
      </c>
      <c r="P50" s="41">
        <v>0.4594684098370097</v>
      </c>
      <c r="Q50" s="41">
        <v>0.48571017796810334</v>
      </c>
      <c r="R50" s="41">
        <v>0.48633152389617207</v>
      </c>
      <c r="S50" s="41">
        <v>0.452080919002239</v>
      </c>
      <c r="T50" s="41">
        <v>0.4398894423646133</v>
      </c>
      <c r="U50" s="148"/>
      <c r="V50" s="41"/>
      <c r="W50" s="41"/>
      <c r="X50" s="41"/>
      <c r="Y50" s="148"/>
      <c r="Z50" s="41"/>
      <c r="AA50" s="41"/>
      <c r="AB50" s="41"/>
      <c r="AC50" s="148"/>
      <c r="AD50" s="83"/>
      <c r="AE50" s="83"/>
      <c r="AF50" s="83"/>
      <c r="AG50" s="83"/>
      <c r="AH50" s="186"/>
      <c r="AI50" s="186"/>
      <c r="AJ50" s="186"/>
      <c r="AK50" s="186"/>
      <c r="AL50" s="148"/>
      <c r="AM50" s="41">
        <v>0.4441673987663441</v>
      </c>
      <c r="AN50" s="41">
        <v>0.4666723508924234</v>
      </c>
      <c r="AO50" s="162">
        <v>-2.250495212607934</v>
      </c>
      <c r="AP50" s="41"/>
      <c r="AQ50" s="148"/>
      <c r="AR50" s="41">
        <v>0.4749359096395229</v>
      </c>
      <c r="AS50" s="41">
        <v>0.4801795023522198</v>
      </c>
      <c r="AT50" s="41">
        <v>0.4589431981048708</v>
      </c>
      <c r="AU50" s="41">
        <v>0.507880448236595</v>
      </c>
      <c r="AV50" s="41">
        <v>0.4872129539824987</v>
      </c>
      <c r="AW50" s="41">
        <v>0.49480588079936616</v>
      </c>
      <c r="AX50" s="31"/>
      <c r="AY50" s="31"/>
      <c r="AZ50" s="31"/>
      <c r="BA50" s="31"/>
      <c r="BB50" s="3"/>
      <c r="BD50" s="3"/>
      <c r="BE50" s="3"/>
      <c r="BF50" s="3"/>
      <c r="BG50" s="3"/>
    </row>
    <row r="51" spans="1:59" ht="12.75" customHeight="1">
      <c r="A51" s="7" t="s">
        <v>402</v>
      </c>
      <c r="B51" s="144"/>
      <c r="C51" s="162">
        <v>0.6982660514652683</v>
      </c>
      <c r="D51" s="41"/>
      <c r="E51" s="41"/>
      <c r="F51" s="187" t="e">
        <v>#DIV/0!</v>
      </c>
      <c r="G51" s="187">
        <v>0.05232605674106778</v>
      </c>
      <c r="H51" s="187">
        <v>0.05507889273902645</v>
      </c>
      <c r="I51" s="187">
        <v>0.0631221133179885</v>
      </c>
      <c r="J51" s="187">
        <v>0.051475028734325995</v>
      </c>
      <c r="K51" s="187">
        <v>0.045343396226415096</v>
      </c>
      <c r="L51" s="187">
        <v>0.07624677379069186</v>
      </c>
      <c r="M51" s="187">
        <v>0.10897227075744563</v>
      </c>
      <c r="N51" s="187">
        <v>0.05089902447221559</v>
      </c>
      <c r="O51" s="187">
        <v>0.058676440730490165</v>
      </c>
      <c r="P51" s="187">
        <v>0.07148822208143754</v>
      </c>
      <c r="Q51" s="187">
        <v>-0.011727615350647484</v>
      </c>
      <c r="R51" s="187">
        <v>-0.02317260076570333</v>
      </c>
      <c r="S51" s="187">
        <v>0.01508792853204919</v>
      </c>
      <c r="T51" s="187">
        <v>0.03714819054690965</v>
      </c>
      <c r="U51" s="148"/>
      <c r="V51" s="41"/>
      <c r="W51" s="41"/>
      <c r="X51" s="41"/>
      <c r="Y51" s="148"/>
      <c r="Z51" s="41"/>
      <c r="AA51" s="41"/>
      <c r="AB51" s="41"/>
      <c r="AC51" s="148"/>
      <c r="AD51" s="83"/>
      <c r="AE51" s="83"/>
      <c r="AF51" s="83"/>
      <c r="AG51" s="83"/>
      <c r="AH51" s="186"/>
      <c r="AI51" s="186"/>
      <c r="AJ51" s="186"/>
      <c r="AK51" s="186"/>
      <c r="AL51" s="148"/>
      <c r="AM51" s="187">
        <v>0.05643964197412911</v>
      </c>
      <c r="AN51" s="187">
        <v>0.07158765592864746</v>
      </c>
      <c r="AO51" s="162">
        <v>-1.5148013954518356</v>
      </c>
      <c r="AP51" s="41"/>
      <c r="AQ51" s="148"/>
      <c r="AR51" s="187">
        <v>0.06586289560895546</v>
      </c>
      <c r="AS51" s="187">
        <v>0.04034786613365749</v>
      </c>
      <c r="AT51" s="187">
        <v>0.0076358411121260055</v>
      </c>
      <c r="AU51" s="187">
        <v>0.02904625946891555</v>
      </c>
      <c r="AV51" s="187">
        <v>0.023309813196995863</v>
      </c>
      <c r="AW51" s="187">
        <v>0.007313931452453654</v>
      </c>
      <c r="AX51" s="31"/>
      <c r="AY51" s="31"/>
      <c r="AZ51" s="31"/>
      <c r="BA51" s="31"/>
      <c r="BB51" s="3"/>
      <c r="BD51" s="3"/>
      <c r="BE51" s="3"/>
      <c r="BF51" s="3"/>
      <c r="BG51" s="3"/>
    </row>
    <row r="52" spans="1:59" ht="12.75" customHeight="1">
      <c r="A52" s="145" t="s">
        <v>84</v>
      </c>
      <c r="B52" s="750"/>
      <c r="C52" s="162">
        <v>0.8382521245890784</v>
      </c>
      <c r="D52" s="41"/>
      <c r="E52" s="41"/>
      <c r="F52" s="187" t="e">
        <v>#DIV/0!</v>
      </c>
      <c r="G52" s="187">
        <v>0.513040634453438</v>
      </c>
      <c r="H52" s="187">
        <v>0.5102098807334381</v>
      </c>
      <c r="I52" s="187">
        <v>0.47510784567778913</v>
      </c>
      <c r="J52" s="187">
        <v>0.5471794905095554</v>
      </c>
      <c r="K52" s="187">
        <v>0.5046581132075472</v>
      </c>
      <c r="L52" s="187">
        <v>0.55432520189826</v>
      </c>
      <c r="M52" s="187">
        <v>0.5741503045379611</v>
      </c>
      <c r="N52" s="187">
        <v>0.5849717424182123</v>
      </c>
      <c r="O52" s="187">
        <v>0.48335666428014235</v>
      </c>
      <c r="P52" s="187">
        <v>0.5309566319184472</v>
      </c>
      <c r="Q52" s="187">
        <v>0.47398256261745586</v>
      </c>
      <c r="R52" s="187">
        <v>0.46315892313046875</v>
      </c>
      <c r="S52" s="187">
        <v>0.46716884753428817</v>
      </c>
      <c r="T52" s="187">
        <v>0.47703763291152296</v>
      </c>
      <c r="U52" s="187">
        <v>0.460999281092739</v>
      </c>
      <c r="V52" s="187">
        <v>0.522719651240778</v>
      </c>
      <c r="W52" s="187">
        <v>0.5475665431992419</v>
      </c>
      <c r="X52" s="187">
        <v>0.5448996495699268</v>
      </c>
      <c r="Y52" s="187">
        <v>0.5290361065300537</v>
      </c>
      <c r="Z52" s="187">
        <v>0.46496952533399005</v>
      </c>
      <c r="AA52" s="187">
        <v>0.5859289340101523</v>
      </c>
      <c r="AB52" s="187">
        <v>0.5142279210093252</v>
      </c>
      <c r="AC52" s="187">
        <v>0.5012643974311262</v>
      </c>
      <c r="AD52" s="35">
        <v>0.518</v>
      </c>
      <c r="AE52" s="35">
        <v>0.529</v>
      </c>
      <c r="AF52" s="35">
        <v>0.474</v>
      </c>
      <c r="AG52" s="35">
        <v>0.492</v>
      </c>
      <c r="AH52" s="35">
        <v>0.544</v>
      </c>
      <c r="AI52" s="35">
        <v>0.508</v>
      </c>
      <c r="AJ52" s="35">
        <v>0.487</v>
      </c>
      <c r="AK52" s="35">
        <v>0.527</v>
      </c>
      <c r="AL52" s="148"/>
      <c r="AM52" s="187">
        <v>0.5006070407404732</v>
      </c>
      <c r="AN52" s="187">
        <v>0.5382600068210709</v>
      </c>
      <c r="AO52" s="162">
        <v>-3.765296608059765</v>
      </c>
      <c r="AP52" s="41"/>
      <c r="AQ52" s="148"/>
      <c r="AR52" s="187">
        <v>0.5407988052484783</v>
      </c>
      <c r="AS52" s="187">
        <v>0.5205273684858773</v>
      </c>
      <c r="AT52" s="187">
        <v>0.4665790392169967</v>
      </c>
      <c r="AU52" s="35">
        <v>0.5369267077055105</v>
      </c>
      <c r="AV52" s="35">
        <v>0.5105227671794946</v>
      </c>
      <c r="AW52" s="35">
        <v>0.5021198122518198</v>
      </c>
      <c r="AX52" s="35">
        <v>0.519</v>
      </c>
      <c r="AY52" s="358">
        <v>0.526</v>
      </c>
      <c r="AZ52" s="358">
        <v>0.522</v>
      </c>
      <c r="BA52" s="358">
        <v>0.568</v>
      </c>
      <c r="BB52" s="3"/>
      <c r="BD52" s="3"/>
      <c r="BE52" s="3"/>
      <c r="BF52" s="3"/>
      <c r="BG52" s="3"/>
    </row>
    <row r="53" spans="1:59" ht="13.5" customHeight="1">
      <c r="A53" s="145" t="s">
        <v>259</v>
      </c>
      <c r="B53" s="146"/>
      <c r="C53" s="162">
        <v>0.5851437069123722</v>
      </c>
      <c r="D53" s="41"/>
      <c r="E53" s="41"/>
      <c r="F53" s="187" t="e">
        <v>#DIV/0!</v>
      </c>
      <c r="G53" s="187">
        <v>0.5605020031068596</v>
      </c>
      <c r="H53" s="187">
        <v>0.5780442178213133</v>
      </c>
      <c r="I53" s="187">
        <v>0.5432144871423563</v>
      </c>
      <c r="J53" s="187">
        <v>0.6087391312817783</v>
      </c>
      <c r="K53" s="187">
        <v>0.5546505660377359</v>
      </c>
      <c r="L53" s="187">
        <v>0.6265090333860628</v>
      </c>
      <c r="M53" s="187">
        <v>0.6611287154124836</v>
      </c>
      <c r="N53" s="187">
        <v>0.629034112517357</v>
      </c>
      <c r="O53" s="187">
        <v>0.5286756927154016</v>
      </c>
      <c r="P53" s="187">
        <v>0.5796521338478373</v>
      </c>
      <c r="Q53" s="187">
        <v>0.5274962260081949</v>
      </c>
      <c r="R53" s="187">
        <v>0.48948226486984875</v>
      </c>
      <c r="S53" s="187">
        <v>0.48908628584930075</v>
      </c>
      <c r="T53" s="187">
        <v>0.5198787166238669</v>
      </c>
      <c r="U53" s="187">
        <v>0.5011482546529276</v>
      </c>
      <c r="V53" s="187">
        <v>0.5716800804828974</v>
      </c>
      <c r="W53" s="187">
        <v>0.5858213455077956</v>
      </c>
      <c r="X53" s="187">
        <v>0.5879197196559414</v>
      </c>
      <c r="Y53" s="187">
        <v>0.5688503690187959</v>
      </c>
      <c r="Z53" s="187">
        <v>0.5190389706335037</v>
      </c>
      <c r="AA53" s="187">
        <v>0.655228426395939</v>
      </c>
      <c r="AB53" s="187">
        <v>0.5814077070762479</v>
      </c>
      <c r="AC53" s="187">
        <v>0.5415628906510931</v>
      </c>
      <c r="AD53" s="35">
        <v>0.561</v>
      </c>
      <c r="AE53" s="35">
        <v>0.559</v>
      </c>
      <c r="AF53" s="35">
        <v>0.51</v>
      </c>
      <c r="AG53" s="35">
        <v>0.517</v>
      </c>
      <c r="AH53" s="35">
        <v>0.564</v>
      </c>
      <c r="AI53" s="35">
        <v>0.539</v>
      </c>
      <c r="AJ53" s="35">
        <v>0.511</v>
      </c>
      <c r="AK53" s="35">
        <v>0.553</v>
      </c>
      <c r="AL53" s="148"/>
      <c r="AM53" s="187">
        <v>0.5603953105228939</v>
      </c>
      <c r="AN53" s="187">
        <v>0.6048197066939509</v>
      </c>
      <c r="AO53" s="162">
        <v>-4.442439617105698</v>
      </c>
      <c r="AP53" s="41"/>
      <c r="AQ53" s="148"/>
      <c r="AR53" s="187">
        <v>0.6059353126334254</v>
      </c>
      <c r="AS53" s="187">
        <v>0.5682304398932196</v>
      </c>
      <c r="AT53" s="187">
        <v>0.4969924477020073</v>
      </c>
      <c r="AU53" s="35">
        <v>0.5790355321571798</v>
      </c>
      <c r="AV53" s="35">
        <v>0.5648510371334519</v>
      </c>
      <c r="AW53" s="35">
        <v>0.5340768507235163</v>
      </c>
      <c r="AX53" s="35">
        <v>0.544</v>
      </c>
      <c r="AY53" s="358">
        <v>0.552</v>
      </c>
      <c r="AZ53" s="358">
        <v>0.591</v>
      </c>
      <c r="BA53" s="358">
        <v>0.627</v>
      </c>
      <c r="BB53" s="3"/>
      <c r="BD53" s="3"/>
      <c r="BE53" s="3"/>
      <c r="BF53" s="3"/>
      <c r="BG53" s="3"/>
    </row>
    <row r="54" spans="1:59" ht="12.75" customHeight="1">
      <c r="A54" s="145" t="s">
        <v>85</v>
      </c>
      <c r="B54" s="146"/>
      <c r="C54" s="162">
        <v>-5.909725285998346</v>
      </c>
      <c r="D54" s="41"/>
      <c r="E54" s="41"/>
      <c r="F54" s="187" t="e">
        <v>#DIV/0!</v>
      </c>
      <c r="G54" s="187">
        <v>0.2639253886494505</v>
      </c>
      <c r="H54" s="187">
        <v>0.4076927327118738</v>
      </c>
      <c r="I54" s="187">
        <v>0.3485968629483408</v>
      </c>
      <c r="J54" s="187">
        <v>0.31023980986642596</v>
      </c>
      <c r="K54" s="187">
        <v>0.32202264150943394</v>
      </c>
      <c r="L54" s="187">
        <v>0.42322038131712597</v>
      </c>
      <c r="M54" s="187">
        <v>0.5335781482907375</v>
      </c>
      <c r="N54" s="187">
        <v>0.6003343150521372</v>
      </c>
      <c r="O54" s="187">
        <v>0.35996623246171766</v>
      </c>
      <c r="P54" s="187">
        <v>0.45720785578529055</v>
      </c>
      <c r="Q54" s="187">
        <v>0.3040245643221705</v>
      </c>
      <c r="R54" s="187">
        <v>0.17368154313034664</v>
      </c>
      <c r="S54" s="187">
        <v>0.17640274980591591</v>
      </c>
      <c r="T54" s="187">
        <v>0.28057093943050443</v>
      </c>
      <c r="U54" s="187">
        <v>0.3631879543094496</v>
      </c>
      <c r="V54" s="187">
        <v>0.28268420044073966</v>
      </c>
      <c r="W54" s="187">
        <v>0.17315875613747955</v>
      </c>
      <c r="X54" s="187">
        <v>0.2278560050971647</v>
      </c>
      <c r="Y54" s="187">
        <v>0.2397394060610314</v>
      </c>
      <c r="Z54" s="187">
        <v>0.3203995567321308</v>
      </c>
      <c r="AA54" s="187">
        <v>1.2893401015228427</v>
      </c>
      <c r="AB54" s="187">
        <v>0.5011142347778387</v>
      </c>
      <c r="AC54" s="187">
        <v>0.2697508421364022</v>
      </c>
      <c r="AD54" s="35">
        <v>0.4029999999999999</v>
      </c>
      <c r="AE54" s="35">
        <v>0.239</v>
      </c>
      <c r="AF54" s="35">
        <v>0.32199999999999995</v>
      </c>
      <c r="AG54" s="35">
        <v>0.16900000000000004</v>
      </c>
      <c r="AH54" s="35">
        <v>0.21100000000000008</v>
      </c>
      <c r="AI54" s="35">
        <v>0.20399999999999996</v>
      </c>
      <c r="AJ54" s="35">
        <v>0.249</v>
      </c>
      <c r="AK54" s="35">
        <v>0.17899999999999994</v>
      </c>
      <c r="AL54" s="148"/>
      <c r="AM54" s="187">
        <v>0.33225751577024265</v>
      </c>
      <c r="AN54" s="187">
        <v>0.408799181471491</v>
      </c>
      <c r="AO54" s="162">
        <v>-7.654166570124837</v>
      </c>
      <c r="AP54" s="41"/>
      <c r="AQ54" s="148"/>
      <c r="AR54" s="187">
        <v>0.38074572161032694</v>
      </c>
      <c r="AS54" s="187">
        <v>0.43623302104279515</v>
      </c>
      <c r="AT54" s="187">
        <v>0.22905666822613824</v>
      </c>
      <c r="AU54" s="35">
        <v>0.22577690492301092</v>
      </c>
      <c r="AV54" s="35">
        <v>0.5113304080389109</v>
      </c>
      <c r="AW54" s="35">
        <v>0.26071837309622325</v>
      </c>
      <c r="AX54" s="35">
        <v>0.20899999999999996</v>
      </c>
      <c r="AY54" s="358">
        <v>0.1419999999999999</v>
      </c>
      <c r="AZ54" s="358">
        <v>0.134</v>
      </c>
      <c r="BA54" s="358">
        <v>0.10299999999999998</v>
      </c>
      <c r="BB54" s="3"/>
      <c r="BD54" s="3"/>
      <c r="BE54" s="3"/>
      <c r="BF54" s="3"/>
      <c r="BG54" s="3"/>
    </row>
    <row r="55" spans="1:59" ht="12.75" customHeight="1">
      <c r="A55" s="145" t="s">
        <v>86</v>
      </c>
      <c r="B55" s="145"/>
      <c r="C55" s="162">
        <v>-5.324581579085974</v>
      </c>
      <c r="D55" s="41"/>
      <c r="E55" s="41"/>
      <c r="F55" s="187" t="e">
        <v>#DIV/0!</v>
      </c>
      <c r="G55" s="187">
        <v>0.8244273917563101</v>
      </c>
      <c r="H55" s="187">
        <v>0.985736950533187</v>
      </c>
      <c r="I55" s="187">
        <v>0.8918113500906971</v>
      </c>
      <c r="J55" s="187">
        <v>0.9189789411482042</v>
      </c>
      <c r="K55" s="187">
        <v>0.8766732075471698</v>
      </c>
      <c r="L55" s="187">
        <v>1.0497294147031888</v>
      </c>
      <c r="M55" s="187">
        <v>1.194706863703221</v>
      </c>
      <c r="N55" s="187">
        <v>1.2293684275694943</v>
      </c>
      <c r="O55" s="187">
        <v>0.8886419251771193</v>
      </c>
      <c r="P55" s="187">
        <v>1.0368599896331279</v>
      </c>
      <c r="Q55" s="187">
        <v>0.8315207903303655</v>
      </c>
      <c r="R55" s="187">
        <v>0.6631638080001954</v>
      </c>
      <c r="S55" s="187">
        <v>0.6654890356552167</v>
      </c>
      <c r="T55" s="187">
        <v>0.8004496560543712</v>
      </c>
      <c r="U55" s="187">
        <v>0.8643362089623772</v>
      </c>
      <c r="V55" s="187">
        <v>0.854364280923637</v>
      </c>
      <c r="W55" s="187">
        <v>0.7589801016452752</v>
      </c>
      <c r="X55" s="187">
        <v>0.8157757247531061</v>
      </c>
      <c r="Y55" s="187">
        <v>0.8085897750798273</v>
      </c>
      <c r="Z55" s="187">
        <v>0.8394385273656344</v>
      </c>
      <c r="AA55" s="187">
        <v>1.9445685279187817</v>
      </c>
      <c r="AB55" s="187">
        <v>1.0825219418540866</v>
      </c>
      <c r="AC55" s="187">
        <v>0.8113137327874953</v>
      </c>
      <c r="AD55" s="35">
        <v>0.964</v>
      </c>
      <c r="AE55" s="35">
        <v>0.798</v>
      </c>
      <c r="AF55" s="35">
        <v>0.832</v>
      </c>
      <c r="AG55" s="35">
        <v>0.686</v>
      </c>
      <c r="AH55" s="35">
        <v>0.775</v>
      </c>
      <c r="AI55" s="35">
        <v>0.743</v>
      </c>
      <c r="AJ55" s="35">
        <v>0.76</v>
      </c>
      <c r="AK55" s="35">
        <v>0.732</v>
      </c>
      <c r="AL55" s="148"/>
      <c r="AM55" s="187">
        <v>0.8926528262931366</v>
      </c>
      <c r="AN55" s="187">
        <v>1.013618888165442</v>
      </c>
      <c r="AO55" s="162">
        <v>-12.096606187230542</v>
      </c>
      <c r="AP55" s="41"/>
      <c r="AQ55" s="148"/>
      <c r="AR55" s="187">
        <v>0.9866810342437522</v>
      </c>
      <c r="AS55" s="187">
        <v>1.0044634609360148</v>
      </c>
      <c r="AT55" s="187">
        <v>0.7260491159281455</v>
      </c>
      <c r="AU55" s="35">
        <v>0.8048124370801908</v>
      </c>
      <c r="AV55" s="35">
        <v>1.0761814451723628</v>
      </c>
      <c r="AW55" s="35">
        <v>0.7947952238197395</v>
      </c>
      <c r="AX55" s="35">
        <v>0.753</v>
      </c>
      <c r="AY55" s="358">
        <v>0.694</v>
      </c>
      <c r="AZ55" s="358">
        <v>0.725</v>
      </c>
      <c r="BA55" s="358">
        <v>0.73</v>
      </c>
      <c r="BB55" s="3"/>
      <c r="BD55" s="3"/>
      <c r="BE55" s="3"/>
      <c r="BF55" s="3"/>
      <c r="BG55" s="3"/>
    </row>
    <row r="56" spans="1:59" ht="12.75" customHeight="1">
      <c r="A56" s="145" t="s">
        <v>215</v>
      </c>
      <c r="B56" s="145"/>
      <c r="C56" s="162">
        <v>5.224581579085973</v>
      </c>
      <c r="D56" s="41"/>
      <c r="E56" s="41"/>
      <c r="F56" s="187" t="e">
        <v>#DIV/0!</v>
      </c>
      <c r="G56" s="187">
        <v>0.17557260824368992</v>
      </c>
      <c r="H56" s="187">
        <v>0.014263049466812954</v>
      </c>
      <c r="I56" s="187">
        <v>0.10818864990930292</v>
      </c>
      <c r="J56" s="187">
        <v>0.08102105885179581</v>
      </c>
      <c r="K56" s="187">
        <v>0.1233267924528302</v>
      </c>
      <c r="L56" s="187">
        <v>-0.04972941470318874</v>
      </c>
      <c r="M56" s="187">
        <v>-0.1947068637032211</v>
      </c>
      <c r="N56" s="187">
        <v>-0.2293684275694942</v>
      </c>
      <c r="O56" s="187">
        <v>0.11135807482288071</v>
      </c>
      <c r="P56" s="187">
        <v>-0.036859989633127914</v>
      </c>
      <c r="Q56" s="187">
        <v>0.1684792096696345</v>
      </c>
      <c r="R56" s="187">
        <v>0.3368361919998046</v>
      </c>
      <c r="S56" s="187">
        <v>0.33451096434478333</v>
      </c>
      <c r="T56" s="187">
        <v>0.19955034394562873</v>
      </c>
      <c r="U56" s="187">
        <v>0.1356637910376228</v>
      </c>
      <c r="V56" s="187">
        <v>0.14563571907636294</v>
      </c>
      <c r="W56" s="187">
        <v>0.2410198983547248</v>
      </c>
      <c r="X56" s="187">
        <v>0.18422427524689391</v>
      </c>
      <c r="Y56" s="187">
        <v>0.19141022492017265</v>
      </c>
      <c r="Z56" s="187">
        <v>0.16056147263436557</v>
      </c>
      <c r="AA56" s="187">
        <v>-0.9445685279187818</v>
      </c>
      <c r="AB56" s="187">
        <v>-0.08252194185408666</v>
      </c>
      <c r="AC56" s="187">
        <v>0.18868626721250464</v>
      </c>
      <c r="AD56" s="35">
        <v>0.03600000000000003</v>
      </c>
      <c r="AE56" s="35">
        <v>0.20199999999999996</v>
      </c>
      <c r="AF56" s="35">
        <v>0.16800000000000004</v>
      </c>
      <c r="AG56" s="35">
        <v>0.31399999999999995</v>
      </c>
      <c r="AH56" s="35">
        <v>0.225</v>
      </c>
      <c r="AI56" s="35">
        <v>0.257</v>
      </c>
      <c r="AJ56" s="35">
        <v>0.24</v>
      </c>
      <c r="AK56" s="35">
        <v>0.268</v>
      </c>
      <c r="AL56" s="148"/>
      <c r="AM56" s="187">
        <v>0.1073471737068634</v>
      </c>
      <c r="AN56" s="187">
        <v>-0.013618888165441975</v>
      </c>
      <c r="AO56" s="162">
        <v>12.096606187230538</v>
      </c>
      <c r="AP56" s="41"/>
      <c r="AQ56" s="148"/>
      <c r="AR56" s="187">
        <v>0.013318965756247771</v>
      </c>
      <c r="AS56" s="187">
        <v>-0.004463460936014801</v>
      </c>
      <c r="AT56" s="187">
        <v>0.27395088407185453</v>
      </c>
      <c r="AU56" s="35">
        <v>0.1951875629198092</v>
      </c>
      <c r="AV56" s="35">
        <v>-0.07618144517236282</v>
      </c>
      <c r="AW56" s="35">
        <v>0.2052047761802605</v>
      </c>
      <c r="AX56" s="35">
        <v>0.247</v>
      </c>
      <c r="AY56" s="358">
        <v>0.30600000000000005</v>
      </c>
      <c r="AZ56" s="358">
        <v>0.275</v>
      </c>
      <c r="BA56" s="358">
        <v>0.27</v>
      </c>
      <c r="BB56" s="3"/>
      <c r="BD56" s="3"/>
      <c r="BE56" s="3"/>
      <c r="BF56" s="3"/>
      <c r="BG56" s="3"/>
    </row>
    <row r="57" spans="1:59" ht="12.75" customHeight="1">
      <c r="A57" s="145" t="s">
        <v>87</v>
      </c>
      <c r="B57" s="145"/>
      <c r="C57" s="162">
        <v>4.477485838754028</v>
      </c>
      <c r="D57" s="41"/>
      <c r="E57" s="41"/>
      <c r="F57" s="601" t="e">
        <v>#DIV/0!</v>
      </c>
      <c r="G57" s="601">
        <v>0.16298165084037047</v>
      </c>
      <c r="H57" s="601">
        <v>-0.0002052237333354382</v>
      </c>
      <c r="I57" s="601">
        <v>0.09063609895888908</v>
      </c>
      <c r="J57" s="601">
        <v>0.07770930602544206</v>
      </c>
      <c r="K57" s="601">
        <v>0.1182067924528302</v>
      </c>
      <c r="L57" s="601">
        <v>-0.053925568229123304</v>
      </c>
      <c r="M57" s="601">
        <v>-0.21152802045389482</v>
      </c>
      <c r="N57" s="601">
        <v>-0.2568477097650066</v>
      </c>
      <c r="O57" s="601">
        <v>0.08341436830125773</v>
      </c>
      <c r="P57" s="601">
        <v>-0.08155272706329551</v>
      </c>
      <c r="Q57" s="601">
        <v>0.13725006931821682</v>
      </c>
      <c r="R57" s="601">
        <v>0.3212717758333282</v>
      </c>
      <c r="S57" s="601">
        <v>0.31913050326848863</v>
      </c>
      <c r="T57" s="601">
        <v>0.16960077555356168</v>
      </c>
      <c r="U57" s="601">
        <v>0.10854501158239475</v>
      </c>
      <c r="V57" s="601">
        <v>0.11329884066302577</v>
      </c>
      <c r="W57" s="601">
        <v>0.22059608924110605</v>
      </c>
      <c r="X57" s="601">
        <v>0.15630455559095252</v>
      </c>
      <c r="Y57" s="601" t="s">
        <v>214</v>
      </c>
      <c r="Z57" s="601" t="s">
        <v>214</v>
      </c>
      <c r="AA57" s="601" t="s">
        <v>214</v>
      </c>
      <c r="AB57" s="601" t="s">
        <v>214</v>
      </c>
      <c r="AC57" s="601" t="s">
        <v>214</v>
      </c>
      <c r="AD57" s="601" t="s">
        <v>214</v>
      </c>
      <c r="AE57" s="41" t="s">
        <v>214</v>
      </c>
      <c r="AF57" s="41" t="s">
        <v>214</v>
      </c>
      <c r="AG57" s="41"/>
      <c r="AH57" s="41"/>
      <c r="AI57" s="41"/>
      <c r="AJ57" s="41"/>
      <c r="AK57" s="41"/>
      <c r="AL57" s="243"/>
      <c r="AM57" s="601">
        <v>0.0926849843054918</v>
      </c>
      <c r="AN57" s="601">
        <v>-0.021514794489401502</v>
      </c>
      <c r="AO57" s="162">
        <v>11.419977879489329</v>
      </c>
      <c r="AP57" s="41"/>
      <c r="AQ57" s="243"/>
      <c r="AR57" s="601">
        <v>0.006727870573514</v>
      </c>
      <c r="AS57" s="601">
        <v>-0.036237840616691254</v>
      </c>
      <c r="AT57" s="601">
        <v>0.2537093145008577</v>
      </c>
      <c r="AU57" s="41" t="s">
        <v>214</v>
      </c>
      <c r="AV57" s="41" t="s">
        <v>214</v>
      </c>
      <c r="AW57" s="41" t="s">
        <v>214</v>
      </c>
      <c r="AX57" s="41" t="s">
        <v>214</v>
      </c>
      <c r="AY57" s="41" t="s">
        <v>214</v>
      </c>
      <c r="AZ57" s="573" t="s">
        <v>214</v>
      </c>
      <c r="BA57" s="358"/>
      <c r="BB57" s="3"/>
      <c r="BD57" s="3"/>
      <c r="BE57" s="3"/>
      <c r="BF57" s="3"/>
      <c r="BG57" s="3"/>
    </row>
    <row r="58" spans="1:59" ht="12.75" customHeight="1">
      <c r="A58" s="146"/>
      <c r="B58" s="146"/>
      <c r="C58" s="162"/>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187"/>
      <c r="AD58" s="187"/>
      <c r="AE58" s="83"/>
      <c r="AF58" s="83"/>
      <c r="AG58" s="83"/>
      <c r="AH58" s="187"/>
      <c r="AI58" s="187"/>
      <c r="AJ58" s="187"/>
      <c r="AK58" s="187"/>
      <c r="AL58" s="148"/>
      <c r="AM58" s="148"/>
      <c r="AN58" s="148"/>
      <c r="AO58" s="31"/>
      <c r="AP58" s="41"/>
      <c r="AQ58" s="148"/>
      <c r="AR58" s="35"/>
      <c r="AS58" s="35"/>
      <c r="AT58" s="35"/>
      <c r="AU58" s="35"/>
      <c r="AV58" s="35"/>
      <c r="AW58" s="35"/>
      <c r="AX58" s="11"/>
      <c r="AY58" s="359"/>
      <c r="AZ58" s="359"/>
      <c r="BA58" s="359"/>
      <c r="BB58" s="3"/>
      <c r="BD58" s="3"/>
      <c r="BE58" s="3"/>
      <c r="BF58" s="3"/>
      <c r="BG58" s="3"/>
    </row>
    <row r="59" spans="1:59" ht="12.75" customHeight="1">
      <c r="A59" s="146" t="s">
        <v>100</v>
      </c>
      <c r="B59" s="146"/>
      <c r="C59" s="167">
        <v>-50</v>
      </c>
      <c r="D59" s="41">
        <v>-0.04970178926441352</v>
      </c>
      <c r="F59" s="272">
        <v>0</v>
      </c>
      <c r="G59" s="272">
        <v>956</v>
      </c>
      <c r="H59" s="272">
        <v>975</v>
      </c>
      <c r="I59" s="272">
        <v>971</v>
      </c>
      <c r="J59" s="272">
        <v>973</v>
      </c>
      <c r="K59" s="272">
        <v>1006</v>
      </c>
      <c r="L59" s="272">
        <v>993</v>
      </c>
      <c r="M59" s="272">
        <v>1063</v>
      </c>
      <c r="N59" s="272">
        <v>1090</v>
      </c>
      <c r="O59" s="272">
        <v>650</v>
      </c>
      <c r="P59" s="272">
        <v>640</v>
      </c>
      <c r="Q59" s="272">
        <v>636</v>
      </c>
      <c r="R59" s="272">
        <v>627</v>
      </c>
      <c r="S59" s="272">
        <v>592</v>
      </c>
      <c r="T59" s="272">
        <v>597</v>
      </c>
      <c r="U59" s="272">
        <v>580</v>
      </c>
      <c r="V59" s="272">
        <v>505</v>
      </c>
      <c r="W59" s="272">
        <v>503</v>
      </c>
      <c r="X59" s="272">
        <v>482</v>
      </c>
      <c r="Y59" s="272">
        <v>474</v>
      </c>
      <c r="Z59" s="272">
        <v>474</v>
      </c>
      <c r="AA59" s="272">
        <v>480</v>
      </c>
      <c r="AB59" s="272">
        <v>551</v>
      </c>
      <c r="AC59" s="272">
        <v>545</v>
      </c>
      <c r="AD59" s="272">
        <v>541</v>
      </c>
      <c r="AE59" s="144">
        <v>531</v>
      </c>
      <c r="AF59" s="144">
        <v>535</v>
      </c>
      <c r="AG59" s="144">
        <v>534</v>
      </c>
      <c r="AH59" s="272">
        <v>502</v>
      </c>
      <c r="AI59" s="272">
        <v>502</v>
      </c>
      <c r="AJ59" s="272">
        <v>494</v>
      </c>
      <c r="AK59" s="272">
        <v>481</v>
      </c>
      <c r="AL59" s="7"/>
      <c r="AM59" s="272">
        <v>956</v>
      </c>
      <c r="AN59" s="272">
        <v>1006</v>
      </c>
      <c r="AO59" s="31">
        <v>-50</v>
      </c>
      <c r="AP59" s="41">
        <v>-0.04970178926441352</v>
      </c>
      <c r="AQ59" s="148"/>
      <c r="AR59" s="272">
        <v>973</v>
      </c>
      <c r="AS59" s="167">
        <v>1090</v>
      </c>
      <c r="AT59" s="167">
        <v>627</v>
      </c>
      <c r="AU59" s="167">
        <v>505</v>
      </c>
      <c r="AV59" s="167">
        <v>474</v>
      </c>
      <c r="AW59" s="167">
        <v>541</v>
      </c>
      <c r="AX59" s="167">
        <v>502</v>
      </c>
      <c r="AY59" s="352">
        <v>464</v>
      </c>
      <c r="AZ59" s="352">
        <v>279</v>
      </c>
      <c r="BA59" s="352">
        <v>237</v>
      </c>
      <c r="BB59" s="3"/>
      <c r="BD59" s="3"/>
      <c r="BE59" s="3"/>
      <c r="BF59" s="3"/>
      <c r="BG59" s="3"/>
    </row>
    <row r="60" spans="1:59" ht="12.75" customHeight="1">
      <c r="A60" s="7"/>
      <c r="B60" s="7"/>
      <c r="C60" s="208"/>
      <c r="D60" s="11"/>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352"/>
      <c r="AZ60" s="352"/>
      <c r="BA60" s="352"/>
      <c r="BB60" s="3"/>
      <c r="BD60" s="3"/>
      <c r="BE60" s="3"/>
      <c r="BF60" s="3"/>
      <c r="BG60" s="3"/>
    </row>
    <row r="61" spans="1:59" ht="18" customHeight="1">
      <c r="A61" s="12" t="s">
        <v>325</v>
      </c>
      <c r="B61" s="7"/>
      <c r="C61" s="83"/>
      <c r="D61" s="83"/>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83"/>
      <c r="AG61" s="83"/>
      <c r="AH61" s="83"/>
      <c r="AI61" s="83"/>
      <c r="AJ61" s="83"/>
      <c r="AK61" s="83"/>
      <c r="AL61" s="83"/>
      <c r="AM61" s="83"/>
      <c r="AN61" s="83"/>
      <c r="AO61" s="148"/>
      <c r="AP61" s="148"/>
      <c r="AQ61" s="83"/>
      <c r="AR61" s="741"/>
      <c r="AS61" s="741"/>
      <c r="AT61" s="83"/>
      <c r="AU61" s="83"/>
      <c r="AV61" s="83"/>
      <c r="AW61" s="83"/>
      <c r="AX61" s="83"/>
      <c r="AY61" s="357"/>
      <c r="AZ61" s="357"/>
      <c r="BA61" s="357"/>
      <c r="BB61" s="3"/>
      <c r="BD61" s="3"/>
      <c r="BE61" s="3"/>
      <c r="BF61" s="3"/>
      <c r="BG61" s="3"/>
    </row>
    <row r="62" spans="1:59" ht="12.75" customHeight="1">
      <c r="A62" s="193"/>
      <c r="B62" s="7"/>
      <c r="C62" s="83"/>
      <c r="D62" s="83"/>
      <c r="E62" s="148"/>
      <c r="F62" s="148"/>
      <c r="G62" s="148"/>
      <c r="H62" s="148"/>
      <c r="I62" s="148"/>
      <c r="J62" s="148"/>
      <c r="K62" s="148"/>
      <c r="L62" s="148"/>
      <c r="M62" s="148"/>
      <c r="N62" s="468"/>
      <c r="O62" s="148"/>
      <c r="P62" s="148"/>
      <c r="Q62" s="148"/>
      <c r="R62" s="468"/>
      <c r="S62" s="148"/>
      <c r="T62" s="468"/>
      <c r="U62" s="148"/>
      <c r="V62" s="468"/>
      <c r="W62" s="148"/>
      <c r="X62" s="468"/>
      <c r="Y62" s="148"/>
      <c r="Z62" s="468"/>
      <c r="AA62" s="148"/>
      <c r="AB62" s="148"/>
      <c r="AC62" s="148"/>
      <c r="AD62" s="148"/>
      <c r="AE62" s="148"/>
      <c r="AF62" s="83"/>
      <c r="AG62" s="83"/>
      <c r="AH62" s="83"/>
      <c r="AI62" s="83"/>
      <c r="AJ62" s="83"/>
      <c r="AK62" s="83"/>
      <c r="AL62" s="83"/>
      <c r="AM62" s="83"/>
      <c r="AN62" s="83"/>
      <c r="AO62" s="148"/>
      <c r="AP62" s="148"/>
      <c r="AQ62" s="83"/>
      <c r="AR62" s="83"/>
      <c r="AS62" s="83"/>
      <c r="AT62" s="83"/>
      <c r="AU62" s="83"/>
      <c r="AV62" s="83"/>
      <c r="AW62" s="83"/>
      <c r="AX62" s="83"/>
      <c r="AY62" s="357"/>
      <c r="AZ62" s="357"/>
      <c r="BA62" s="357"/>
      <c r="BB62" s="3"/>
      <c r="BD62" s="3"/>
      <c r="BE62" s="3"/>
      <c r="BF62" s="3"/>
      <c r="BG62" s="3"/>
    </row>
    <row r="63" spans="1:59" ht="12.75" customHeight="1">
      <c r="A63" s="6"/>
      <c r="B63" s="7"/>
      <c r="C63" s="1437" t="s">
        <v>497</v>
      </c>
      <c r="D63" s="1438"/>
      <c r="E63" s="259"/>
      <c r="F63" s="477"/>
      <c r="G63" s="477"/>
      <c r="H63" s="477"/>
      <c r="I63" s="19"/>
      <c r="J63" s="477"/>
      <c r="K63" s="477"/>
      <c r="L63" s="477"/>
      <c r="M63" s="19"/>
      <c r="N63" s="17"/>
      <c r="O63" s="18"/>
      <c r="P63" s="477"/>
      <c r="Q63" s="19"/>
      <c r="R63" s="17"/>
      <c r="S63" s="18"/>
      <c r="T63" s="477"/>
      <c r="U63" s="19"/>
      <c r="W63" s="18"/>
      <c r="X63" s="2"/>
      <c r="Y63" s="19"/>
      <c r="Z63" s="18"/>
      <c r="AB63" s="477"/>
      <c r="AC63" s="19"/>
      <c r="AD63" s="18"/>
      <c r="AE63" s="18"/>
      <c r="AF63" s="18"/>
      <c r="AG63" s="18"/>
      <c r="AH63" s="22"/>
      <c r="AI63" s="19"/>
      <c r="AJ63" s="19"/>
      <c r="AK63" s="19"/>
      <c r="AL63" s="24"/>
      <c r="AM63" s="725" t="s">
        <v>406</v>
      </c>
      <c r="AN63" s="711"/>
      <c r="AO63" s="711" t="s">
        <v>480</v>
      </c>
      <c r="AP63" s="712"/>
      <c r="AQ63" s="15"/>
      <c r="AR63" s="88"/>
      <c r="AS63" s="88"/>
      <c r="AT63" s="88"/>
      <c r="AU63" s="88"/>
      <c r="AV63" s="88"/>
      <c r="AW63" s="196"/>
      <c r="AX63" s="194"/>
      <c r="AY63" s="88"/>
      <c r="AZ63" s="88"/>
      <c r="BA63" s="669"/>
      <c r="BB63" s="25"/>
      <c r="BD63" s="3"/>
      <c r="BE63" s="3"/>
      <c r="BF63" s="3"/>
      <c r="BG63" s="3"/>
    </row>
    <row r="64" spans="1:59" ht="12.75" customHeight="1">
      <c r="A64" s="6" t="s">
        <v>107</v>
      </c>
      <c r="B64" s="7"/>
      <c r="C64" s="1439" t="s">
        <v>41</v>
      </c>
      <c r="D64" s="1440"/>
      <c r="E64" s="603"/>
      <c r="F64" s="21" t="s">
        <v>431</v>
      </c>
      <c r="G64" s="21" t="s">
        <v>430</v>
      </c>
      <c r="H64" s="21" t="s">
        <v>429</v>
      </c>
      <c r="I64" s="14" t="s">
        <v>427</v>
      </c>
      <c r="J64" s="21" t="s">
        <v>362</v>
      </c>
      <c r="K64" s="21" t="s">
        <v>363</v>
      </c>
      <c r="L64" s="21" t="s">
        <v>364</v>
      </c>
      <c r="M64" s="14" t="s">
        <v>365</v>
      </c>
      <c r="N64" s="20" t="s">
        <v>277</v>
      </c>
      <c r="O64" s="21" t="s">
        <v>278</v>
      </c>
      <c r="P64" s="21" t="s">
        <v>279</v>
      </c>
      <c r="Q64" s="14" t="s">
        <v>276</v>
      </c>
      <c r="R64" s="20" t="s">
        <v>222</v>
      </c>
      <c r="S64" s="21" t="s">
        <v>223</v>
      </c>
      <c r="T64" s="21" t="s">
        <v>224</v>
      </c>
      <c r="U64" s="14" t="s">
        <v>225</v>
      </c>
      <c r="V64" s="21" t="s">
        <v>141</v>
      </c>
      <c r="W64" s="21" t="s">
        <v>140</v>
      </c>
      <c r="X64" s="21" t="s">
        <v>139</v>
      </c>
      <c r="Y64" s="14" t="s">
        <v>138</v>
      </c>
      <c r="Z64" s="21" t="s">
        <v>91</v>
      </c>
      <c r="AA64" s="21" t="s">
        <v>92</v>
      </c>
      <c r="AB64" s="21" t="s">
        <v>93</v>
      </c>
      <c r="AC64" s="14" t="s">
        <v>32</v>
      </c>
      <c r="AD64" s="21" t="s">
        <v>33</v>
      </c>
      <c r="AE64" s="21" t="s">
        <v>34</v>
      </c>
      <c r="AF64" s="21" t="s">
        <v>35</v>
      </c>
      <c r="AG64" s="21" t="s">
        <v>36</v>
      </c>
      <c r="AH64" s="23" t="s">
        <v>37</v>
      </c>
      <c r="AI64" s="14" t="s">
        <v>38</v>
      </c>
      <c r="AJ64" s="14" t="s">
        <v>39</v>
      </c>
      <c r="AK64" s="14" t="s">
        <v>40</v>
      </c>
      <c r="AL64" s="259"/>
      <c r="AM64" s="21" t="s">
        <v>430</v>
      </c>
      <c r="AN64" s="21" t="s">
        <v>363</v>
      </c>
      <c r="AO64" s="1435" t="s">
        <v>41</v>
      </c>
      <c r="AP64" s="1436"/>
      <c r="AQ64" s="197"/>
      <c r="AR64" s="20" t="s">
        <v>367</v>
      </c>
      <c r="AS64" s="20" t="s">
        <v>285</v>
      </c>
      <c r="AT64" s="20" t="s">
        <v>143</v>
      </c>
      <c r="AU64" s="20" t="s">
        <v>142</v>
      </c>
      <c r="AV64" s="20" t="s">
        <v>45</v>
      </c>
      <c r="AW64" s="20" t="s">
        <v>42</v>
      </c>
      <c r="AX64" s="23" t="s">
        <v>43</v>
      </c>
      <c r="AY64" s="23" t="s">
        <v>165</v>
      </c>
      <c r="AZ64" s="23" t="s">
        <v>166</v>
      </c>
      <c r="BA64" s="20" t="s">
        <v>167</v>
      </c>
      <c r="BB64" s="25"/>
      <c r="BD64" s="3"/>
      <c r="BE64" s="3"/>
      <c r="BF64" s="3"/>
      <c r="BG64" s="3"/>
    </row>
    <row r="65" spans="1:59" ht="12.75" customHeight="1">
      <c r="A65" s="147"/>
      <c r="B65" s="148" t="s">
        <v>4</v>
      </c>
      <c r="C65" s="84">
        <v>5609</v>
      </c>
      <c r="D65" s="30">
        <v>0.03386566037735849</v>
      </c>
      <c r="E65" s="89"/>
      <c r="F65" s="466">
        <v>0</v>
      </c>
      <c r="G65" s="466">
        <v>171234</v>
      </c>
      <c r="H65" s="466">
        <v>126691</v>
      </c>
      <c r="I65" s="424">
        <v>131206</v>
      </c>
      <c r="J65" s="466">
        <v>153997</v>
      </c>
      <c r="K65" s="466">
        <v>165625</v>
      </c>
      <c r="L65" s="466">
        <v>120110</v>
      </c>
      <c r="M65" s="424">
        <v>101301</v>
      </c>
      <c r="N65" s="466">
        <v>113067</v>
      </c>
      <c r="O65" s="466">
        <v>93581</v>
      </c>
      <c r="P65" s="466">
        <v>69452</v>
      </c>
      <c r="Q65" s="424">
        <v>97377</v>
      </c>
      <c r="R65" s="466">
        <v>163771</v>
      </c>
      <c r="S65" s="466">
        <v>177758</v>
      </c>
      <c r="T65" s="466">
        <v>96963</v>
      </c>
      <c r="U65" s="424">
        <v>100152</v>
      </c>
      <c r="V65" s="446">
        <v>83496</v>
      </c>
      <c r="W65" s="496">
        <v>116090</v>
      </c>
      <c r="X65" s="466">
        <v>78475</v>
      </c>
      <c r="Y65" s="424">
        <v>85497</v>
      </c>
      <c r="Z65" s="496">
        <v>64972</v>
      </c>
      <c r="AA65" s="496">
        <v>49250</v>
      </c>
      <c r="AB65" s="466">
        <v>58336</v>
      </c>
      <c r="AC65" s="424">
        <v>104793</v>
      </c>
      <c r="AD65" s="212">
        <v>77965</v>
      </c>
      <c r="AE65" s="212">
        <v>109583</v>
      </c>
      <c r="AF65" s="212">
        <v>89071</v>
      </c>
      <c r="AG65" s="212">
        <v>155023</v>
      </c>
      <c r="AH65" s="224">
        <v>130151</v>
      </c>
      <c r="AI65" s="216">
        <v>101427</v>
      </c>
      <c r="AJ65" s="216">
        <v>93033</v>
      </c>
      <c r="AK65" s="225">
        <v>125106</v>
      </c>
      <c r="AL65" s="89"/>
      <c r="AM65" s="610">
        <v>429131</v>
      </c>
      <c r="AN65" s="610">
        <v>387036</v>
      </c>
      <c r="AO65" s="394">
        <v>42095</v>
      </c>
      <c r="AP65" s="392">
        <v>0.10876249237797</v>
      </c>
      <c r="AQ65" s="83"/>
      <c r="AR65" s="201">
        <v>541033</v>
      </c>
      <c r="AS65" s="201">
        <v>373477</v>
      </c>
      <c r="AT65" s="179">
        <v>538644</v>
      </c>
      <c r="AU65" s="179">
        <v>363558</v>
      </c>
      <c r="AV65" s="179">
        <v>277351</v>
      </c>
      <c r="AW65" s="224">
        <v>431642</v>
      </c>
      <c r="AX65" s="226">
        <v>449717</v>
      </c>
      <c r="AY65" s="360">
        <v>333666</v>
      </c>
      <c r="AZ65" s="360">
        <v>239654</v>
      </c>
      <c r="BA65" s="538">
        <v>211758</v>
      </c>
      <c r="BB65" s="25"/>
      <c r="BD65" s="3"/>
      <c r="BE65" s="3"/>
      <c r="BF65" s="3"/>
      <c r="BG65" s="3"/>
    </row>
    <row r="66" spans="1:59" ht="12.75" customHeight="1">
      <c r="A66" s="83"/>
      <c r="B66" s="148" t="s">
        <v>90</v>
      </c>
      <c r="C66" s="84">
        <v>3040</v>
      </c>
      <c r="D66" s="45">
        <v>0.022279223158666178</v>
      </c>
      <c r="E66" s="606"/>
      <c r="F66" s="466">
        <v>0</v>
      </c>
      <c r="G66" s="466">
        <v>139490</v>
      </c>
      <c r="H66" s="466">
        <v>117740</v>
      </c>
      <c r="I66" s="424">
        <v>115309</v>
      </c>
      <c r="J66" s="466">
        <v>132501</v>
      </c>
      <c r="K66" s="466">
        <v>136450</v>
      </c>
      <c r="L66" s="466">
        <v>117864</v>
      </c>
      <c r="M66" s="424">
        <v>116652</v>
      </c>
      <c r="N66" s="466">
        <v>103027</v>
      </c>
      <c r="O66" s="466">
        <v>77401</v>
      </c>
      <c r="P66" s="466">
        <v>69639</v>
      </c>
      <c r="Q66" s="424">
        <v>80041</v>
      </c>
      <c r="R66" s="466">
        <v>107677</v>
      </c>
      <c r="S66" s="466">
        <v>115616</v>
      </c>
      <c r="T66" s="466">
        <v>75787</v>
      </c>
      <c r="U66" s="424">
        <v>74136</v>
      </c>
      <c r="V66" s="446">
        <v>66336</v>
      </c>
      <c r="W66" s="466">
        <v>88110</v>
      </c>
      <c r="X66" s="466">
        <v>64018</v>
      </c>
      <c r="Y66" s="424">
        <v>69132</v>
      </c>
      <c r="Z66" s="466">
        <v>54518</v>
      </c>
      <c r="AA66" s="466">
        <v>58297</v>
      </c>
      <c r="AB66" s="466">
        <v>63150</v>
      </c>
      <c r="AC66" s="424">
        <v>85020</v>
      </c>
      <c r="AD66" s="212">
        <v>73158</v>
      </c>
      <c r="AE66" s="212">
        <v>86348</v>
      </c>
      <c r="AF66" s="212">
        <v>72982</v>
      </c>
      <c r="AG66" s="212">
        <v>106349</v>
      </c>
      <c r="AH66" s="174">
        <v>100905</v>
      </c>
      <c r="AI66" s="216">
        <v>75317</v>
      </c>
      <c r="AJ66" s="216">
        <v>70703</v>
      </c>
      <c r="AK66" s="216">
        <v>91522</v>
      </c>
      <c r="AL66" s="89"/>
      <c r="AM66" s="610">
        <v>372539</v>
      </c>
      <c r="AN66" s="610">
        <v>370966</v>
      </c>
      <c r="AO66" s="212">
        <v>1573</v>
      </c>
      <c r="AP66" s="45">
        <v>0.0042402807804488825</v>
      </c>
      <c r="AQ66" s="83"/>
      <c r="AR66" s="201">
        <v>503467</v>
      </c>
      <c r="AS66" s="201">
        <v>330108</v>
      </c>
      <c r="AT66" s="179">
        <v>373216</v>
      </c>
      <c r="AU66" s="179">
        <v>287596</v>
      </c>
      <c r="AV66" s="179">
        <v>260985</v>
      </c>
      <c r="AW66" s="174">
        <v>338837</v>
      </c>
      <c r="AX66" s="161">
        <v>338447</v>
      </c>
      <c r="AY66" s="43">
        <v>231683</v>
      </c>
      <c r="AZ66" s="43">
        <v>173735</v>
      </c>
      <c r="BA66" s="38">
        <v>154490</v>
      </c>
      <c r="BB66" s="25"/>
      <c r="BD66" s="3"/>
      <c r="BE66" s="3"/>
      <c r="BF66" s="3"/>
      <c r="BG66" s="3"/>
    </row>
    <row r="67" spans="1:59" ht="24.75" customHeight="1">
      <c r="A67" s="83"/>
      <c r="B67" s="546" t="s">
        <v>216</v>
      </c>
      <c r="C67" s="84">
        <v>2569</v>
      </c>
      <c r="D67" s="45">
        <v>0.08805484147386461</v>
      </c>
      <c r="E67" s="606"/>
      <c r="F67" s="466">
        <v>0</v>
      </c>
      <c r="G67" s="466">
        <v>31744</v>
      </c>
      <c r="H67" s="466">
        <v>8951</v>
      </c>
      <c r="I67" s="424">
        <v>15897</v>
      </c>
      <c r="J67" s="466">
        <v>21496</v>
      </c>
      <c r="K67" s="466">
        <v>29175</v>
      </c>
      <c r="L67" s="466">
        <v>2246</v>
      </c>
      <c r="M67" s="855">
        <v>-15351</v>
      </c>
      <c r="N67" s="466">
        <v>10040</v>
      </c>
      <c r="O67" s="466">
        <v>16180</v>
      </c>
      <c r="P67" s="488">
        <v>-187</v>
      </c>
      <c r="Q67" s="424">
        <v>17336</v>
      </c>
      <c r="R67" s="466">
        <v>56094</v>
      </c>
      <c r="S67" s="466">
        <v>62142</v>
      </c>
      <c r="T67" s="466" t="e">
        <v>#VALUE!</v>
      </c>
      <c r="U67" s="424" t="e">
        <v>#VALUE!</v>
      </c>
      <c r="V67" s="446">
        <v>17160</v>
      </c>
      <c r="W67" s="466">
        <v>27980</v>
      </c>
      <c r="X67" s="466">
        <v>14457</v>
      </c>
      <c r="Y67" s="424">
        <v>16365</v>
      </c>
      <c r="Z67" s="466">
        <v>10454</v>
      </c>
      <c r="AA67" s="466">
        <v>-9047</v>
      </c>
      <c r="AB67" s="466">
        <v>-4814</v>
      </c>
      <c r="AC67" s="424">
        <v>19773</v>
      </c>
      <c r="AD67" s="212">
        <v>4807</v>
      </c>
      <c r="AE67" s="212">
        <v>23235</v>
      </c>
      <c r="AF67" s="212">
        <v>16089</v>
      </c>
      <c r="AG67" s="212">
        <v>48674</v>
      </c>
      <c r="AH67" s="174">
        <v>29246</v>
      </c>
      <c r="AI67" s="216">
        <v>26110</v>
      </c>
      <c r="AJ67" s="216">
        <v>22330</v>
      </c>
      <c r="AK67" s="216">
        <v>33584</v>
      </c>
      <c r="AL67" s="89"/>
      <c r="AM67" s="610">
        <v>56592</v>
      </c>
      <c r="AN67" s="610">
        <v>16070</v>
      </c>
      <c r="AO67" s="212">
        <v>40522</v>
      </c>
      <c r="AP67" s="45">
        <v>2.521593030491599</v>
      </c>
      <c r="AQ67" s="83"/>
      <c r="AR67" s="201">
        <v>37566</v>
      </c>
      <c r="AS67" s="201">
        <v>43369</v>
      </c>
      <c r="AT67" s="179">
        <v>165428</v>
      </c>
      <c r="AU67" s="179">
        <v>75962</v>
      </c>
      <c r="AV67" s="179">
        <v>16366</v>
      </c>
      <c r="AW67" s="174">
        <v>92805</v>
      </c>
      <c r="AX67" s="161">
        <v>111270</v>
      </c>
      <c r="AY67" s="43">
        <v>101983</v>
      </c>
      <c r="AZ67" s="43">
        <v>65919</v>
      </c>
      <c r="BA67" s="38">
        <v>57268</v>
      </c>
      <c r="BB67" s="25"/>
      <c r="BD67" s="3"/>
      <c r="BE67" s="3"/>
      <c r="BF67" s="3"/>
      <c r="BG67" s="3"/>
    </row>
    <row r="68" spans="1:59" ht="12.75">
      <c r="A68" s="83"/>
      <c r="B68" s="546" t="s">
        <v>82</v>
      </c>
      <c r="C68" s="154">
        <v>1261</v>
      </c>
      <c r="D68" s="552">
        <v>0.0445158329508949</v>
      </c>
      <c r="E68" s="606"/>
      <c r="F68" s="474">
        <v>0</v>
      </c>
      <c r="G68" s="474">
        <v>29588</v>
      </c>
      <c r="H68" s="474">
        <v>7118</v>
      </c>
      <c r="I68" s="426">
        <v>13594</v>
      </c>
      <c r="J68" s="474">
        <v>20986</v>
      </c>
      <c r="K68" s="474">
        <v>28327</v>
      </c>
      <c r="L68" s="474">
        <v>1742</v>
      </c>
      <c r="M68" s="1327">
        <v>-17055</v>
      </c>
      <c r="N68" s="474">
        <v>6933</v>
      </c>
      <c r="O68" s="474">
        <v>13565</v>
      </c>
      <c r="P68" s="1339">
        <v>-3291</v>
      </c>
      <c r="Q68" s="426">
        <v>14295</v>
      </c>
      <c r="R68" s="474">
        <v>53545</v>
      </c>
      <c r="S68" s="474">
        <v>59408</v>
      </c>
      <c r="T68" s="474">
        <v>21176</v>
      </c>
      <c r="U68" s="426">
        <v>26016</v>
      </c>
      <c r="V68" s="483">
        <v>17160</v>
      </c>
      <c r="W68" s="474">
        <v>27980</v>
      </c>
      <c r="X68" s="474">
        <v>14457</v>
      </c>
      <c r="Y68" s="426">
        <v>16365</v>
      </c>
      <c r="Z68" s="474">
        <v>10454</v>
      </c>
      <c r="AA68" s="474">
        <v>-9047</v>
      </c>
      <c r="AB68" s="474">
        <v>-4814</v>
      </c>
      <c r="AC68" s="426">
        <v>19773</v>
      </c>
      <c r="AD68" s="218">
        <v>4807</v>
      </c>
      <c r="AE68" s="218">
        <v>23235</v>
      </c>
      <c r="AF68" s="218">
        <v>16089</v>
      </c>
      <c r="AG68" s="218">
        <v>48674</v>
      </c>
      <c r="AH68" s="211">
        <v>29246</v>
      </c>
      <c r="AI68" s="219">
        <v>26110</v>
      </c>
      <c r="AJ68" s="219">
        <v>22330</v>
      </c>
      <c r="AK68" s="219">
        <v>33584</v>
      </c>
      <c r="AL68" s="89"/>
      <c r="AM68" s="474">
        <v>50300</v>
      </c>
      <c r="AN68" s="1339">
        <v>13014</v>
      </c>
      <c r="AO68" s="218">
        <v>37286</v>
      </c>
      <c r="AP68" s="552">
        <v>2.8650683878899645</v>
      </c>
      <c r="AQ68" s="83"/>
      <c r="AR68" s="198">
        <v>27264</v>
      </c>
      <c r="AS68" s="198">
        <v>31502</v>
      </c>
      <c r="AT68" s="198">
        <v>154525</v>
      </c>
      <c r="AU68" s="198">
        <v>66389</v>
      </c>
      <c r="AV68" s="198">
        <v>16366</v>
      </c>
      <c r="AW68" s="211">
        <v>92805</v>
      </c>
      <c r="AX68" s="206">
        <v>111270</v>
      </c>
      <c r="AY68" s="160">
        <v>101983</v>
      </c>
      <c r="AZ68" s="160">
        <v>65919</v>
      </c>
      <c r="BA68" s="471">
        <v>57268</v>
      </c>
      <c r="BB68" s="25"/>
      <c r="BD68" s="3"/>
      <c r="BE68" s="3"/>
      <c r="BF68" s="3"/>
      <c r="BG68" s="3"/>
    </row>
    <row r="69" spans="1:59" ht="12.75" customHeight="1">
      <c r="A69" s="83"/>
      <c r="B69" s="148"/>
      <c r="C69" s="153"/>
      <c r="D69" s="11"/>
      <c r="E69" s="11"/>
      <c r="F69" s="663"/>
      <c r="G69" s="663"/>
      <c r="H69" s="663"/>
      <c r="I69" s="663"/>
      <c r="J69" s="663"/>
      <c r="K69" s="663"/>
      <c r="L69" s="663"/>
      <c r="M69" s="663"/>
      <c r="N69" s="663"/>
      <c r="O69" s="663"/>
      <c r="P69" s="663"/>
      <c r="Q69" s="663"/>
      <c r="R69" s="663"/>
      <c r="S69" s="663"/>
      <c r="T69" s="663"/>
      <c r="U69" s="663"/>
      <c r="V69" s="11"/>
      <c r="W69" s="11"/>
      <c r="X69" s="11"/>
      <c r="Y69" s="148"/>
      <c r="Z69" s="11"/>
      <c r="AA69" s="11"/>
      <c r="AB69" s="11"/>
      <c r="AC69" s="148"/>
      <c r="AD69" s="83"/>
      <c r="AE69" s="83"/>
      <c r="AF69" s="83"/>
      <c r="AG69" s="83"/>
      <c r="AH69" s="83"/>
      <c r="AI69" s="83"/>
      <c r="AJ69" s="83"/>
      <c r="AK69" s="83"/>
      <c r="AL69" s="148"/>
      <c r="AM69" s="148"/>
      <c r="AN69" s="148"/>
      <c r="AO69" s="153"/>
      <c r="AP69" s="11"/>
      <c r="AQ69" s="148"/>
      <c r="AR69" s="148"/>
      <c r="AS69" s="148"/>
      <c r="AT69" s="148"/>
      <c r="AU69" s="148"/>
      <c r="AV69" s="148"/>
      <c r="AW69" s="83"/>
      <c r="AX69" s="83"/>
      <c r="AY69" s="31"/>
      <c r="AZ69" s="31"/>
      <c r="BA69" s="31"/>
      <c r="BB69" s="3"/>
      <c r="BD69" s="3"/>
      <c r="BE69" s="3"/>
      <c r="BF69" s="3"/>
      <c r="BG69" s="3"/>
    </row>
    <row r="70" spans="1:59" ht="12.75" customHeight="1">
      <c r="A70" s="83"/>
      <c r="B70" s="145" t="s">
        <v>85</v>
      </c>
      <c r="C70" s="208">
        <v>-1.5084237555537505</v>
      </c>
      <c r="D70" s="11"/>
      <c r="E70" s="11"/>
      <c r="F70" s="11" t="e">
        <v>#DIV/0!</v>
      </c>
      <c r="G70" s="11">
        <v>0.2541142530105002</v>
      </c>
      <c r="H70" s="11">
        <v>0.3513035653677057</v>
      </c>
      <c r="I70" s="11">
        <v>0.3356248952029633</v>
      </c>
      <c r="J70" s="11">
        <v>0.25167373390390724</v>
      </c>
      <c r="K70" s="11">
        <v>0.26919849056603773</v>
      </c>
      <c r="L70" s="11">
        <v>0.3547914411789193</v>
      </c>
      <c r="M70" s="11">
        <v>0.4904097689065261</v>
      </c>
      <c r="N70" s="11">
        <v>0.28216897945465963</v>
      </c>
      <c r="O70" s="11">
        <v>0.29842596253513</v>
      </c>
      <c r="P70" s="11">
        <v>0.423040373207395</v>
      </c>
      <c r="Q70" s="11">
        <v>0.29447405444817565</v>
      </c>
      <c r="R70" s="11">
        <v>0.1680028820731387</v>
      </c>
      <c r="S70" s="11">
        <v>0.16132607252556846</v>
      </c>
      <c r="T70" s="11">
        <v>0.2617287006383878</v>
      </c>
      <c r="U70" s="11">
        <v>0.2390865883856538</v>
      </c>
      <c r="V70" s="11">
        <v>0.22280109226789307</v>
      </c>
      <c r="W70" s="11">
        <v>0.17315875613747955</v>
      </c>
      <c r="X70" s="11">
        <v>0.2278560050971647</v>
      </c>
      <c r="Y70" s="11">
        <v>0.2397394060610314</v>
      </c>
      <c r="Z70" s="11">
        <v>0.32006094933201995</v>
      </c>
      <c r="AA70" s="11">
        <v>0.5284670050761421</v>
      </c>
      <c r="AB70" s="11">
        <v>0.5011142347778387</v>
      </c>
      <c r="AC70" s="11">
        <v>0.2697508421364022</v>
      </c>
      <c r="AD70" s="35">
        <v>0.37782338228692364</v>
      </c>
      <c r="AE70" s="35">
        <v>0.22941514650995137</v>
      </c>
      <c r="AF70" s="35">
        <v>0.30967430476810637</v>
      </c>
      <c r="AG70" s="35">
        <v>0.16900000000000004</v>
      </c>
      <c r="AH70" s="35">
        <v>0.21100000000000008</v>
      </c>
      <c r="AI70" s="35">
        <v>0.20399999999999996</v>
      </c>
      <c r="AJ70" s="35">
        <v>0.249</v>
      </c>
      <c r="AK70" s="35">
        <v>0.17899999999999994</v>
      </c>
      <c r="AL70" s="148"/>
      <c r="AM70" s="11">
        <v>0.3077288753317751</v>
      </c>
      <c r="AN70" s="11">
        <v>0.35365960789177237</v>
      </c>
      <c r="AO70" s="162">
        <v>-4.593073255999725</v>
      </c>
      <c r="AP70" s="11"/>
      <c r="AQ70" s="11"/>
      <c r="AR70" s="11">
        <v>0.32463084506860024</v>
      </c>
      <c r="AS70" s="11">
        <v>0.31564728216195376</v>
      </c>
      <c r="AT70" s="11">
        <v>0.19588819331506524</v>
      </c>
      <c r="AU70" s="35">
        <v>0.21202394115931983</v>
      </c>
      <c r="AV70" s="35">
        <v>0.3761407025754369</v>
      </c>
      <c r="AW70" s="35">
        <v>0.2509185853091219</v>
      </c>
      <c r="AX70" s="35">
        <v>0.20899999999999996</v>
      </c>
      <c r="AY70" s="145">
        <v>0.1419999999999999</v>
      </c>
      <c r="AZ70" s="145">
        <v>0.134</v>
      </c>
      <c r="BA70" s="145">
        <v>0.10299999999999998</v>
      </c>
      <c r="BB70" s="3"/>
      <c r="BD70" s="3"/>
      <c r="BE70" s="3"/>
      <c r="BF70" s="3"/>
      <c r="BG70" s="3"/>
    </row>
    <row r="71" spans="1:59" ht="12.75" customHeight="1">
      <c r="A71" s="83"/>
      <c r="B71" s="145" t="s">
        <v>86</v>
      </c>
      <c r="C71" s="208">
        <v>-0.9232800486413728</v>
      </c>
      <c r="D71" s="11"/>
      <c r="E71" s="11"/>
      <c r="F71" s="11" t="e">
        <v>#DIV/0!</v>
      </c>
      <c r="G71" s="11">
        <v>0.8146162561173599</v>
      </c>
      <c r="H71" s="11">
        <v>0.929347783189019</v>
      </c>
      <c r="I71" s="11">
        <v>0.8788393823453196</v>
      </c>
      <c r="J71" s="11">
        <v>0.8604128651856854</v>
      </c>
      <c r="K71" s="11">
        <v>0.8238490566037736</v>
      </c>
      <c r="L71" s="11">
        <v>0.9813004745649822</v>
      </c>
      <c r="M71" s="11">
        <v>1.1515384843190097</v>
      </c>
      <c r="N71" s="11">
        <v>0.9112030919720165</v>
      </c>
      <c r="O71" s="11">
        <v>0.8271016552505316</v>
      </c>
      <c r="P71" s="11">
        <v>1.0026925070552324</v>
      </c>
      <c r="Q71" s="11">
        <v>0.8219702804563706</v>
      </c>
      <c r="R71" s="11">
        <v>0.6574851469429874</v>
      </c>
      <c r="S71" s="11">
        <v>0.6504123583748692</v>
      </c>
      <c r="T71" s="11">
        <v>0.7816074172622547</v>
      </c>
      <c r="U71" s="11">
        <v>0.7402348430385813</v>
      </c>
      <c r="V71" s="11">
        <v>0.7944811727507904</v>
      </c>
      <c r="W71" s="11">
        <v>0.7589801016452752</v>
      </c>
      <c r="X71" s="11">
        <v>0.8157757247531061</v>
      </c>
      <c r="Y71" s="11">
        <v>0.8085897750798273</v>
      </c>
      <c r="Z71" s="11">
        <v>0.8390999199655236</v>
      </c>
      <c r="AA71" s="11">
        <v>1.1836954314720811</v>
      </c>
      <c r="AB71" s="11">
        <v>1.0825219418540866</v>
      </c>
      <c r="AC71" s="11">
        <v>0.8113137327874953</v>
      </c>
      <c r="AD71" s="35">
        <v>0.9383441287757327</v>
      </c>
      <c r="AE71" s="35">
        <v>0.7879689367876405</v>
      </c>
      <c r="AF71" s="35">
        <v>0.8193688181338483</v>
      </c>
      <c r="AG71" s="35">
        <v>0.686</v>
      </c>
      <c r="AH71" s="35">
        <v>0.775</v>
      </c>
      <c r="AI71" s="35">
        <v>0.743</v>
      </c>
      <c r="AJ71" s="35">
        <v>0.76</v>
      </c>
      <c r="AK71" s="35">
        <v>0.732</v>
      </c>
      <c r="AL71" s="148"/>
      <c r="AM71" s="11">
        <v>0.8681241858546691</v>
      </c>
      <c r="AN71" s="11">
        <v>0.9584793145857233</v>
      </c>
      <c r="AO71" s="162">
        <v>-9.035512873105422</v>
      </c>
      <c r="AP71" s="11"/>
      <c r="AQ71" s="11"/>
      <c r="AR71" s="11">
        <v>0.9305661577020256</v>
      </c>
      <c r="AS71" s="11">
        <v>0.8838777220551735</v>
      </c>
      <c r="AT71" s="11">
        <v>0.6928806410170725</v>
      </c>
      <c r="AU71" s="35">
        <v>0.7910594733164997</v>
      </c>
      <c r="AV71" s="35">
        <v>0.9409917397088887</v>
      </c>
      <c r="AW71" s="35">
        <v>0.7849954360326381</v>
      </c>
      <c r="AX71" s="35">
        <v>0.753</v>
      </c>
      <c r="AY71" s="145">
        <v>0.694</v>
      </c>
      <c r="AZ71" s="145">
        <v>0.725</v>
      </c>
      <c r="BA71" s="145">
        <v>0.73</v>
      </c>
      <c r="BB71" s="3"/>
      <c r="BD71" s="3"/>
      <c r="BE71" s="3"/>
      <c r="BF71" s="3"/>
      <c r="BG71" s="3"/>
    </row>
    <row r="72" spans="1:53" ht="12.75" customHeight="1">
      <c r="A72" s="83"/>
      <c r="B72" s="145" t="s">
        <v>87</v>
      </c>
      <c r="C72" s="208">
        <v>0.17618430830942944</v>
      </c>
      <c r="D72" s="11"/>
      <c r="E72" s="11"/>
      <c r="F72" s="11" t="e">
        <v>#DIV/0!</v>
      </c>
      <c r="G72" s="11">
        <v>0.1727927864793207</v>
      </c>
      <c r="H72" s="11">
        <v>0.056183943610832655</v>
      </c>
      <c r="I72" s="11">
        <v>0.10360806670426657</v>
      </c>
      <c r="J72" s="11">
        <v>0.1362753819879608</v>
      </c>
      <c r="K72" s="11">
        <v>0.1710309433962264</v>
      </c>
      <c r="L72" s="11">
        <v>0.014503371909083341</v>
      </c>
      <c r="M72" s="11">
        <v>-0.16835964106968343</v>
      </c>
      <c r="N72" s="11">
        <v>0.06131762583247101</v>
      </c>
      <c r="O72" s="11">
        <v>0.1449546382278454</v>
      </c>
      <c r="P72" s="11">
        <v>-0.04738524448539999</v>
      </c>
      <c r="Q72" s="11">
        <v>0.1468005791922117</v>
      </c>
      <c r="R72" s="11">
        <v>0.3425148530570125</v>
      </c>
      <c r="S72" s="11">
        <v>0.3495876416251308</v>
      </c>
      <c r="T72" s="11">
        <v>0.21839258273774534</v>
      </c>
      <c r="U72" s="11">
        <v>0.25976515696141866</v>
      </c>
      <c r="V72" s="11">
        <v>0.20551882724920953</v>
      </c>
      <c r="W72" s="11">
        <v>0.2410198983547248</v>
      </c>
      <c r="X72" s="11">
        <v>0.18422427524689391</v>
      </c>
      <c r="Y72" s="11">
        <v>0.19141022492017265</v>
      </c>
      <c r="Z72" s="11">
        <v>0.1609000800344764</v>
      </c>
      <c r="AA72" s="11">
        <v>-0.18369543147208123</v>
      </c>
      <c r="AB72" s="11">
        <v>-0.08252194185408666</v>
      </c>
      <c r="AC72" s="11">
        <v>0.18868626721250464</v>
      </c>
      <c r="AD72" s="35">
        <v>0.0616558712242673</v>
      </c>
      <c r="AE72" s="35">
        <v>0.2120310632123596</v>
      </c>
      <c r="AF72" s="35">
        <v>0.18063118186615174</v>
      </c>
      <c r="AG72" s="35">
        <v>0.31399999999999995</v>
      </c>
      <c r="AH72" s="35">
        <v>0.225</v>
      </c>
      <c r="AI72" s="35">
        <v>0.257</v>
      </c>
      <c r="AJ72" s="35">
        <v>0.24</v>
      </c>
      <c r="AK72" s="35">
        <v>0.268</v>
      </c>
      <c r="AL72" s="148"/>
      <c r="AM72" s="11">
        <v>0.1172136247439593</v>
      </c>
      <c r="AN72" s="11">
        <v>0.041520685414276705</v>
      </c>
      <c r="AO72" s="162">
        <v>7.56929393296826</v>
      </c>
      <c r="AP72" s="11"/>
      <c r="AQ72" s="11"/>
      <c r="AR72" s="11">
        <v>0.05039248992205651</v>
      </c>
      <c r="AS72" s="11">
        <v>0.08434789826415014</v>
      </c>
      <c r="AT72" s="11">
        <v>0.2868777894119307</v>
      </c>
      <c r="AU72" s="11">
        <v>0.18260910226153737</v>
      </c>
      <c r="AV72" s="11">
        <v>0.05900826029111126</v>
      </c>
      <c r="AW72" s="11">
        <v>0.21500456396736184</v>
      </c>
      <c r="AX72" s="35">
        <v>0.247</v>
      </c>
      <c r="AY72" s="145">
        <v>0.30600000000000005</v>
      </c>
      <c r="AZ72" s="145">
        <v>0.275</v>
      </c>
      <c r="BA72" s="145">
        <v>0.27</v>
      </c>
    </row>
    <row r="73" spans="1:53" ht="12.75" customHeight="1">
      <c r="A73" s="83"/>
      <c r="B73" s="145"/>
      <c r="C73" s="208"/>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35"/>
      <c r="AE73" s="35"/>
      <c r="AF73" s="35"/>
      <c r="AG73" s="35"/>
      <c r="AH73" s="35"/>
      <c r="AI73" s="35"/>
      <c r="AJ73" s="35"/>
      <c r="AK73" s="35"/>
      <c r="AL73" s="148"/>
      <c r="AM73" s="148"/>
      <c r="AN73" s="148"/>
      <c r="AO73" s="162"/>
      <c r="AP73" s="11"/>
      <c r="AQ73" s="148"/>
      <c r="AR73" s="35"/>
      <c r="AS73" s="35"/>
      <c r="AT73" s="35"/>
      <c r="AU73" s="35"/>
      <c r="AV73" s="35"/>
      <c r="AW73" s="35"/>
      <c r="AX73" s="35"/>
      <c r="AY73" s="145"/>
      <c r="AZ73" s="145"/>
      <c r="BA73" s="145"/>
    </row>
    <row r="74" spans="1:53" ht="12.75" customHeight="1">
      <c r="A74" s="12" t="s">
        <v>227</v>
      </c>
      <c r="B74" s="145"/>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7"/>
      <c r="AH74" s="148"/>
      <c r="AI74" s="7"/>
      <c r="AJ74" s="7"/>
      <c r="AK74" s="148"/>
      <c r="AL74" s="148"/>
      <c r="AM74" s="148"/>
      <c r="AN74" s="148"/>
      <c r="AO74" s="148"/>
      <c r="AP74" s="148"/>
      <c r="AQ74" s="148"/>
      <c r="AR74" s="148"/>
      <c r="AS74" s="148"/>
      <c r="AT74" s="148"/>
      <c r="AU74" s="148"/>
      <c r="AV74" s="148"/>
      <c r="AW74" s="148"/>
      <c r="AX74" s="148"/>
      <c r="AY74" s="31"/>
      <c r="AZ74" s="145"/>
      <c r="BA74" s="145"/>
    </row>
    <row r="75" spans="3:54" ht="12.75" customHeight="1">
      <c r="C75" s="1437" t="s">
        <v>497</v>
      </c>
      <c r="D75" s="1438"/>
      <c r="E75" s="259"/>
      <c r="F75" s="477"/>
      <c r="G75" s="477"/>
      <c r="H75" s="477"/>
      <c r="I75" s="19"/>
      <c r="J75" s="477"/>
      <c r="K75" s="477"/>
      <c r="L75" s="477"/>
      <c r="M75" s="19"/>
      <c r="N75" s="17"/>
      <c r="O75" s="18"/>
      <c r="P75" s="477"/>
      <c r="Q75" s="19"/>
      <c r="R75" s="17"/>
      <c r="S75" s="18"/>
      <c r="T75" s="477"/>
      <c r="U75" s="19"/>
      <c r="W75" s="18"/>
      <c r="X75" s="2"/>
      <c r="Y75" s="19"/>
      <c r="Z75" s="18"/>
      <c r="AB75" s="477"/>
      <c r="AC75" s="19"/>
      <c r="AD75" s="18"/>
      <c r="AE75" s="18"/>
      <c r="AF75" s="18"/>
      <c r="AG75" s="18"/>
      <c r="AH75" s="22"/>
      <c r="AI75" s="19"/>
      <c r="AJ75" s="19"/>
      <c r="AK75" s="19"/>
      <c r="AL75" s="24"/>
      <c r="AM75" s="725" t="s">
        <v>406</v>
      </c>
      <c r="AN75" s="711"/>
      <c r="AO75" s="711" t="s">
        <v>480</v>
      </c>
      <c r="AP75" s="712"/>
      <c r="AQ75" s="148"/>
      <c r="AR75" s="88"/>
      <c r="AS75" s="88"/>
      <c r="AT75" s="88"/>
      <c r="AU75" s="88"/>
      <c r="AV75" s="88"/>
      <c r="AW75" s="196"/>
      <c r="AX75" s="194"/>
      <c r="AY75" s="88"/>
      <c r="AZ75" s="145"/>
      <c r="BA75" s="145"/>
      <c r="BB75" s="25"/>
    </row>
    <row r="76" spans="3:54" ht="12.75" customHeight="1">
      <c r="C76" s="1439" t="s">
        <v>41</v>
      </c>
      <c r="D76" s="1440"/>
      <c r="E76" s="603"/>
      <c r="F76" s="21" t="s">
        <v>431</v>
      </c>
      <c r="G76" s="21" t="s">
        <v>430</v>
      </c>
      <c r="H76" s="21" t="s">
        <v>429</v>
      </c>
      <c r="I76" s="14" t="s">
        <v>427</v>
      </c>
      <c r="J76" s="21" t="s">
        <v>362</v>
      </c>
      <c r="K76" s="21" t="s">
        <v>363</v>
      </c>
      <c r="L76" s="21" t="s">
        <v>364</v>
      </c>
      <c r="M76" s="14" t="s">
        <v>365</v>
      </c>
      <c r="N76" s="20" t="s">
        <v>277</v>
      </c>
      <c r="O76" s="21" t="s">
        <v>278</v>
      </c>
      <c r="P76" s="21" t="s">
        <v>279</v>
      </c>
      <c r="Q76" s="14" t="s">
        <v>276</v>
      </c>
      <c r="R76" s="20" t="s">
        <v>222</v>
      </c>
      <c r="S76" s="21" t="s">
        <v>223</v>
      </c>
      <c r="T76" s="21" t="s">
        <v>224</v>
      </c>
      <c r="U76" s="14" t="s">
        <v>225</v>
      </c>
      <c r="V76" s="21" t="s">
        <v>141</v>
      </c>
      <c r="W76" s="21" t="s">
        <v>140</v>
      </c>
      <c r="X76" s="21" t="s">
        <v>139</v>
      </c>
      <c r="Y76" s="14" t="s">
        <v>138</v>
      </c>
      <c r="Z76" s="21" t="s">
        <v>91</v>
      </c>
      <c r="AA76" s="21" t="s">
        <v>92</v>
      </c>
      <c r="AB76" s="21" t="s">
        <v>93</v>
      </c>
      <c r="AC76" s="14" t="s">
        <v>32</v>
      </c>
      <c r="AD76" s="21" t="s">
        <v>33</v>
      </c>
      <c r="AE76" s="21" t="s">
        <v>34</v>
      </c>
      <c r="AF76" s="21" t="s">
        <v>35</v>
      </c>
      <c r="AG76" s="21" t="s">
        <v>36</v>
      </c>
      <c r="AH76" s="23" t="s">
        <v>37</v>
      </c>
      <c r="AI76" s="14" t="s">
        <v>38</v>
      </c>
      <c r="AJ76" s="14" t="s">
        <v>39</v>
      </c>
      <c r="AK76" s="14" t="s">
        <v>40</v>
      </c>
      <c r="AL76" s="259"/>
      <c r="AM76" s="21" t="s">
        <v>430</v>
      </c>
      <c r="AN76" s="21" t="s">
        <v>363</v>
      </c>
      <c r="AO76" s="1435" t="s">
        <v>41</v>
      </c>
      <c r="AP76" s="1436"/>
      <c r="AQ76" s="148"/>
      <c r="AR76" s="20" t="s">
        <v>367</v>
      </c>
      <c r="AS76" s="20" t="s">
        <v>285</v>
      </c>
      <c r="AT76" s="20" t="s">
        <v>143</v>
      </c>
      <c r="AU76" s="20" t="s">
        <v>142</v>
      </c>
      <c r="AV76" s="20" t="s">
        <v>45</v>
      </c>
      <c r="AW76" s="20" t="s">
        <v>42</v>
      </c>
      <c r="AX76" s="23" t="s">
        <v>43</v>
      </c>
      <c r="AY76" s="23" t="s">
        <v>165</v>
      </c>
      <c r="AZ76" s="145"/>
      <c r="BA76" s="145"/>
      <c r="BB76" s="25"/>
    </row>
    <row r="77" spans="1:54" ht="12.75" customHeight="1">
      <c r="A77" s="83"/>
      <c r="B77" s="7" t="s">
        <v>475</v>
      </c>
      <c r="C77" s="84">
        <v>-469</v>
      </c>
      <c r="D77" s="45">
        <v>-0.011527306690262007</v>
      </c>
      <c r="E77" s="89"/>
      <c r="F77" s="466"/>
      <c r="G77" s="466">
        <v>40217</v>
      </c>
      <c r="H77" s="466">
        <v>37823</v>
      </c>
      <c r="I77" s="443">
        <v>42832</v>
      </c>
      <c r="J77" s="466">
        <v>39270</v>
      </c>
      <c r="K77" s="466">
        <v>40686</v>
      </c>
      <c r="L77" s="466">
        <v>41061</v>
      </c>
      <c r="M77" s="443">
        <v>42055</v>
      </c>
      <c r="N77" s="466">
        <v>36190</v>
      </c>
      <c r="O77" s="466">
        <v>25951</v>
      </c>
      <c r="P77" s="466">
        <v>26032</v>
      </c>
      <c r="Q77" s="443">
        <v>22923</v>
      </c>
      <c r="R77" s="466">
        <v>34956</v>
      </c>
      <c r="S77" s="466">
        <v>41491</v>
      </c>
      <c r="T77" s="466">
        <v>30122</v>
      </c>
      <c r="U77" s="443">
        <v>27253</v>
      </c>
      <c r="V77" s="466">
        <v>24606</v>
      </c>
      <c r="W77" s="466">
        <v>26648</v>
      </c>
      <c r="X77" s="466">
        <v>26258</v>
      </c>
      <c r="Y77" s="443">
        <v>25700</v>
      </c>
      <c r="Z77" s="231">
        <v>24412</v>
      </c>
      <c r="AA77" s="496">
        <v>23557</v>
      </c>
      <c r="AB77" s="496">
        <v>27744</v>
      </c>
      <c r="AC77" s="443">
        <v>29582</v>
      </c>
      <c r="AD77" s="424">
        <v>29584</v>
      </c>
      <c r="AE77" s="148"/>
      <c r="AF77" s="148"/>
      <c r="AG77" s="7"/>
      <c r="AH77" s="148"/>
      <c r="AI77" s="7"/>
      <c r="AJ77" s="7"/>
      <c r="AK77" s="148"/>
      <c r="AL77" s="89"/>
      <c r="AM77" s="610">
        <v>120872</v>
      </c>
      <c r="AN77" s="610">
        <v>123802</v>
      </c>
      <c r="AO77" s="609">
        <v>-2930</v>
      </c>
      <c r="AP77" s="539">
        <v>-0.023666822830002748</v>
      </c>
      <c r="AQ77" s="148"/>
      <c r="AR77" s="201">
        <v>163072</v>
      </c>
      <c r="AS77" s="201">
        <v>111096</v>
      </c>
      <c r="AT77" s="179">
        <v>133822</v>
      </c>
      <c r="AU77" s="179">
        <v>103212</v>
      </c>
      <c r="AV77" s="179">
        <v>105295</v>
      </c>
      <c r="AW77" s="224">
        <v>125363</v>
      </c>
      <c r="AX77" s="226">
        <v>125810</v>
      </c>
      <c r="AY77" s="360">
        <v>89236</v>
      </c>
      <c r="AZ77" s="145"/>
      <c r="BA77" s="145"/>
      <c r="BB77" s="25"/>
    </row>
    <row r="78" spans="1:54" ht="12.75" customHeight="1">
      <c r="A78" s="83"/>
      <c r="B78" s="7" t="s">
        <v>70</v>
      </c>
      <c r="C78" s="84">
        <v>32539</v>
      </c>
      <c r="D78" s="45">
        <v>0.9517110266159696</v>
      </c>
      <c r="E78" s="89"/>
      <c r="F78" s="466"/>
      <c r="G78" s="466">
        <v>66729</v>
      </c>
      <c r="H78" s="466">
        <v>37147</v>
      </c>
      <c r="I78" s="443">
        <v>28802</v>
      </c>
      <c r="J78" s="466">
        <v>33074</v>
      </c>
      <c r="K78" s="466">
        <v>34190</v>
      </c>
      <c r="L78" s="466">
        <v>31356</v>
      </c>
      <c r="M78" s="443">
        <v>23046</v>
      </c>
      <c r="N78" s="466">
        <v>42554</v>
      </c>
      <c r="O78" s="466">
        <v>23556</v>
      </c>
      <c r="P78" s="466">
        <v>21108</v>
      </c>
      <c r="Q78" s="443">
        <v>48446</v>
      </c>
      <c r="R78" s="466">
        <v>84470</v>
      </c>
      <c r="S78" s="466">
        <v>97802</v>
      </c>
      <c r="T78" s="466">
        <v>43112</v>
      </c>
      <c r="U78" s="443">
        <v>46456</v>
      </c>
      <c r="V78" s="466">
        <v>43383</v>
      </c>
      <c r="W78" s="466">
        <v>71705</v>
      </c>
      <c r="X78" s="466">
        <v>26112</v>
      </c>
      <c r="Y78" s="443">
        <v>40636</v>
      </c>
      <c r="Z78" s="231">
        <v>23936</v>
      </c>
      <c r="AA78" s="466">
        <v>7212</v>
      </c>
      <c r="AB78" s="466">
        <v>22784</v>
      </c>
      <c r="AC78" s="443">
        <v>43116</v>
      </c>
      <c r="AD78" s="424">
        <v>68274</v>
      </c>
      <c r="AE78" s="148">
        <v>0</v>
      </c>
      <c r="AF78" s="148">
        <v>0</v>
      </c>
      <c r="AG78" s="7">
        <v>0</v>
      </c>
      <c r="AH78" s="148">
        <v>0</v>
      </c>
      <c r="AI78" s="7">
        <v>0</v>
      </c>
      <c r="AJ78" s="7">
        <v>0</v>
      </c>
      <c r="AK78" s="148">
        <v>0</v>
      </c>
      <c r="AL78" s="89"/>
      <c r="AM78" s="610">
        <v>132678</v>
      </c>
      <c r="AN78" s="610">
        <v>88592</v>
      </c>
      <c r="AO78" s="610">
        <v>44086</v>
      </c>
      <c r="AP78" s="30">
        <v>0.49762958280657393</v>
      </c>
      <c r="AQ78" s="148"/>
      <c r="AR78" s="201">
        <v>121666</v>
      </c>
      <c r="AS78" s="201">
        <v>135664</v>
      </c>
      <c r="AT78" s="179">
        <v>271840</v>
      </c>
      <c r="AU78" s="179">
        <v>181837</v>
      </c>
      <c r="AV78" s="179">
        <v>97048</v>
      </c>
      <c r="AW78" s="174">
        <v>245983</v>
      </c>
      <c r="AX78" s="161">
        <v>257102</v>
      </c>
      <c r="AY78" s="43">
        <v>193257</v>
      </c>
      <c r="AZ78" s="145"/>
      <c r="BA78" s="145"/>
      <c r="BB78" s="25"/>
    </row>
    <row r="79" spans="1:54" ht="12.75" customHeight="1">
      <c r="A79" s="83"/>
      <c r="B79" s="7" t="s">
        <v>255</v>
      </c>
      <c r="C79" s="84">
        <v>-29795</v>
      </c>
      <c r="D79" s="45">
        <v>-0.42968806333915</v>
      </c>
      <c r="E79" s="89"/>
      <c r="F79" s="466"/>
      <c r="G79" s="466">
        <v>39546</v>
      </c>
      <c r="H79" s="466">
        <v>29877</v>
      </c>
      <c r="I79" s="443">
        <v>35905</v>
      </c>
      <c r="J79" s="466">
        <v>56134</v>
      </c>
      <c r="K79" s="466">
        <v>69341</v>
      </c>
      <c r="L79" s="466">
        <v>28559</v>
      </c>
      <c r="M79" s="443">
        <v>25188</v>
      </c>
      <c r="N79" s="466">
        <v>24598</v>
      </c>
      <c r="O79" s="466">
        <v>38541</v>
      </c>
      <c r="P79" s="488">
        <v>21661</v>
      </c>
      <c r="Q79" s="443">
        <v>22531</v>
      </c>
      <c r="R79" s="466">
        <v>25702</v>
      </c>
      <c r="S79" s="466">
        <v>25226</v>
      </c>
      <c r="T79" s="466">
        <v>12965</v>
      </c>
      <c r="U79" s="443">
        <v>20651</v>
      </c>
      <c r="V79" s="466">
        <v>8323</v>
      </c>
      <c r="W79" s="466">
        <v>6328</v>
      </c>
      <c r="X79" s="466">
        <v>15254</v>
      </c>
      <c r="Y79" s="443">
        <v>9296</v>
      </c>
      <c r="Z79" s="231">
        <v>8854</v>
      </c>
      <c r="AA79" s="466">
        <v>11311</v>
      </c>
      <c r="AB79" s="466">
        <v>6130</v>
      </c>
      <c r="AC79" s="443">
        <v>25158</v>
      </c>
      <c r="AD79" s="424"/>
      <c r="AE79" s="148"/>
      <c r="AF79" s="148"/>
      <c r="AG79" s="7"/>
      <c r="AH79" s="148"/>
      <c r="AI79" s="7"/>
      <c r="AJ79" s="7"/>
      <c r="AK79" s="148"/>
      <c r="AL79" s="89"/>
      <c r="AM79" s="610">
        <v>105328</v>
      </c>
      <c r="AN79" s="610">
        <v>123088</v>
      </c>
      <c r="AO79" s="610">
        <v>-17760</v>
      </c>
      <c r="AP79" s="30">
        <v>-0.1442870141687248</v>
      </c>
      <c r="AQ79" s="148"/>
      <c r="AR79" s="201">
        <v>179222</v>
      </c>
      <c r="AS79" s="201">
        <v>107331</v>
      </c>
      <c r="AT79" s="179">
        <v>84544</v>
      </c>
      <c r="AU79" s="179">
        <v>39200</v>
      </c>
      <c r="AV79" s="179">
        <v>51453</v>
      </c>
      <c r="AW79" s="174">
        <v>41087</v>
      </c>
      <c r="AX79" s="161">
        <v>31033</v>
      </c>
      <c r="AY79" s="43">
        <v>13082</v>
      </c>
      <c r="AZ79" s="145"/>
      <c r="BA79" s="145"/>
      <c r="BB79" s="25"/>
    </row>
    <row r="80" spans="1:54" ht="12.75" customHeight="1">
      <c r="A80" s="83"/>
      <c r="B80" s="7" t="s">
        <v>71</v>
      </c>
      <c r="C80" s="84">
        <v>3168</v>
      </c>
      <c r="D80" s="30">
        <v>0.17030426835824106</v>
      </c>
      <c r="E80" s="89"/>
      <c r="F80" s="466"/>
      <c r="G80" s="466">
        <v>21770</v>
      </c>
      <c r="H80" s="466">
        <v>18945</v>
      </c>
      <c r="I80" s="443">
        <v>19878</v>
      </c>
      <c r="J80" s="466">
        <v>22869</v>
      </c>
      <c r="K80" s="466">
        <v>18602</v>
      </c>
      <c r="L80" s="466">
        <v>17025</v>
      </c>
      <c r="M80" s="443">
        <v>8029</v>
      </c>
      <c r="N80" s="466">
        <v>6783</v>
      </c>
      <c r="O80" s="466">
        <v>3263</v>
      </c>
      <c r="P80" s="488">
        <v>-1431</v>
      </c>
      <c r="Q80" s="443">
        <v>1596</v>
      </c>
      <c r="R80" s="466">
        <v>16713</v>
      </c>
      <c r="S80" s="466">
        <v>10128</v>
      </c>
      <c r="T80" s="466">
        <v>9273</v>
      </c>
      <c r="U80" s="443">
        <v>5850</v>
      </c>
      <c r="V80" s="466">
        <v>6575</v>
      </c>
      <c r="W80" s="466">
        <v>11377</v>
      </c>
      <c r="X80" s="466">
        <v>10681</v>
      </c>
      <c r="Y80" s="443">
        <v>8992</v>
      </c>
      <c r="Z80" s="231">
        <v>6928</v>
      </c>
      <c r="AA80" s="466">
        <v>4430</v>
      </c>
      <c r="AB80" s="466">
        <v>313</v>
      </c>
      <c r="AC80" s="443">
        <v>5363</v>
      </c>
      <c r="AD80" s="424">
        <v>5363</v>
      </c>
      <c r="AE80" s="148"/>
      <c r="AF80" s="148"/>
      <c r="AG80" s="7"/>
      <c r="AH80" s="148"/>
      <c r="AI80" s="7"/>
      <c r="AJ80" s="7"/>
      <c r="AK80" s="148"/>
      <c r="AL80" s="89"/>
      <c r="AM80" s="610">
        <v>60593</v>
      </c>
      <c r="AN80" s="610">
        <v>43656</v>
      </c>
      <c r="AO80" s="610">
        <v>16937</v>
      </c>
      <c r="AP80" s="30">
        <v>0.38796499908374565</v>
      </c>
      <c r="AQ80" s="148"/>
      <c r="AR80" s="201">
        <v>66525</v>
      </c>
      <c r="AS80" s="201">
        <v>10211</v>
      </c>
      <c r="AT80" s="179">
        <v>41964</v>
      </c>
      <c r="AU80" s="179">
        <v>37625</v>
      </c>
      <c r="AV80" s="179">
        <v>17034</v>
      </c>
      <c r="AW80" s="174">
        <v>7233</v>
      </c>
      <c r="AX80" s="161">
        <v>26646</v>
      </c>
      <c r="AY80" s="43">
        <v>31739</v>
      </c>
      <c r="AZ80" s="145"/>
      <c r="BA80" s="145"/>
      <c r="BB80" s="25"/>
    </row>
    <row r="81" spans="1:54" ht="12.75" customHeight="1">
      <c r="A81" s="83"/>
      <c r="B81" s="7" t="s">
        <v>72</v>
      </c>
      <c r="C81" s="84">
        <v>-690</v>
      </c>
      <c r="D81" s="45">
        <v>-0.2402506963788301</v>
      </c>
      <c r="E81" s="89"/>
      <c r="F81" s="466"/>
      <c r="G81" s="466">
        <v>2182</v>
      </c>
      <c r="H81" s="466">
        <v>2502</v>
      </c>
      <c r="I81" s="443">
        <v>2586</v>
      </c>
      <c r="J81" s="466">
        <v>2229</v>
      </c>
      <c r="K81" s="466">
        <v>2872</v>
      </c>
      <c r="L81" s="466">
        <v>1914</v>
      </c>
      <c r="M81" s="443">
        <v>2967</v>
      </c>
      <c r="N81" s="466">
        <v>2590</v>
      </c>
      <c r="O81" s="466">
        <v>2133</v>
      </c>
      <c r="P81" s="488">
        <v>1827</v>
      </c>
      <c r="Q81" s="443">
        <v>1804</v>
      </c>
      <c r="R81" s="466">
        <v>1891</v>
      </c>
      <c r="S81" s="466">
        <v>2898</v>
      </c>
      <c r="T81" s="466">
        <v>1311</v>
      </c>
      <c r="U81" s="443">
        <v>-19</v>
      </c>
      <c r="V81" s="466">
        <v>248</v>
      </c>
      <c r="W81" s="466">
        <v>80</v>
      </c>
      <c r="X81" s="466">
        <v>113</v>
      </c>
      <c r="Y81" s="443">
        <v>124</v>
      </c>
      <c r="Z81" s="231">
        <v>453</v>
      </c>
      <c r="AA81" s="466">
        <v>866</v>
      </c>
      <c r="AB81" s="466">
        <v>1320</v>
      </c>
      <c r="AC81" s="443">
        <v>1513</v>
      </c>
      <c r="AD81" s="424">
        <v>1512</v>
      </c>
      <c r="AE81" s="148"/>
      <c r="AF81" s="148"/>
      <c r="AG81" s="7"/>
      <c r="AH81" s="148"/>
      <c r="AI81" s="7"/>
      <c r="AJ81" s="7"/>
      <c r="AK81" s="148"/>
      <c r="AL81" s="89"/>
      <c r="AM81" s="610">
        <v>7270</v>
      </c>
      <c r="AN81" s="610">
        <v>7753</v>
      </c>
      <c r="AO81" s="610">
        <v>-483</v>
      </c>
      <c r="AP81" s="30">
        <v>-0.062298465110279894</v>
      </c>
      <c r="AQ81" s="148"/>
      <c r="AR81" s="201">
        <v>9982</v>
      </c>
      <c r="AS81" s="201">
        <v>8354</v>
      </c>
      <c r="AT81" s="179">
        <v>6081</v>
      </c>
      <c r="AU81" s="179">
        <v>565</v>
      </c>
      <c r="AV81" s="179">
        <v>4152</v>
      </c>
      <c r="AW81" s="174">
        <v>8036</v>
      </c>
      <c r="AX81" s="161">
        <v>9202</v>
      </c>
      <c r="AY81" s="43">
        <v>5342</v>
      </c>
      <c r="AZ81" s="145"/>
      <c r="BA81" s="145"/>
      <c r="BB81" s="25"/>
    </row>
    <row r="82" spans="1:54" ht="12.75" customHeight="1">
      <c r="A82" s="193"/>
      <c r="B82" s="7" t="s">
        <v>73</v>
      </c>
      <c r="C82" s="84">
        <v>856</v>
      </c>
      <c r="D82" s="554" t="s">
        <v>44</v>
      </c>
      <c r="E82" s="608"/>
      <c r="F82" s="466"/>
      <c r="G82" s="466">
        <v>790</v>
      </c>
      <c r="H82" s="466">
        <v>397</v>
      </c>
      <c r="I82" s="443">
        <v>1203</v>
      </c>
      <c r="J82" s="466">
        <v>421</v>
      </c>
      <c r="K82" s="466">
        <v>-66</v>
      </c>
      <c r="L82" s="466">
        <v>195</v>
      </c>
      <c r="M82" s="443">
        <v>16</v>
      </c>
      <c r="N82" s="466">
        <v>352</v>
      </c>
      <c r="O82" s="466">
        <v>137</v>
      </c>
      <c r="P82" s="488">
        <v>255</v>
      </c>
      <c r="Q82" s="427">
        <v>77</v>
      </c>
      <c r="R82" s="466">
        <v>39</v>
      </c>
      <c r="S82" s="466">
        <v>213</v>
      </c>
      <c r="T82" s="474">
        <v>180</v>
      </c>
      <c r="U82" s="427">
        <v>-39</v>
      </c>
      <c r="V82" s="466">
        <v>361</v>
      </c>
      <c r="W82" s="466">
        <v>-48</v>
      </c>
      <c r="X82" s="474">
        <v>57</v>
      </c>
      <c r="Y82" s="427">
        <v>749</v>
      </c>
      <c r="Z82" s="231">
        <v>389</v>
      </c>
      <c r="AA82" s="474">
        <v>1874</v>
      </c>
      <c r="AB82" s="474">
        <v>45</v>
      </c>
      <c r="AC82" s="427">
        <v>61</v>
      </c>
      <c r="AD82" s="426">
        <v>60</v>
      </c>
      <c r="AE82" s="15"/>
      <c r="AF82" s="15"/>
      <c r="AG82" s="15"/>
      <c r="AH82" s="15"/>
      <c r="AI82" s="15"/>
      <c r="AJ82" s="15"/>
      <c r="AK82" s="15"/>
      <c r="AL82" s="89"/>
      <c r="AM82" s="716">
        <v>2390</v>
      </c>
      <c r="AN82" s="611">
        <v>145</v>
      </c>
      <c r="AO82" s="611">
        <v>2245</v>
      </c>
      <c r="AP82" s="149" t="s">
        <v>44</v>
      </c>
      <c r="AQ82" s="83"/>
      <c r="AR82" s="201">
        <v>566</v>
      </c>
      <c r="AS82" s="201">
        <v>821</v>
      </c>
      <c r="AT82" s="198">
        <v>393</v>
      </c>
      <c r="AU82" s="198">
        <v>1119</v>
      </c>
      <c r="AV82" s="198">
        <v>2369</v>
      </c>
      <c r="AW82" s="211">
        <v>3940</v>
      </c>
      <c r="AX82" s="206">
        <v>-76</v>
      </c>
      <c r="AY82" s="160">
        <v>1010</v>
      </c>
      <c r="AZ82" s="145"/>
      <c r="BA82" s="145"/>
      <c r="BB82" s="25"/>
    </row>
    <row r="83" spans="1:54" ht="12.75" customHeight="1">
      <c r="A83" s="193"/>
      <c r="B83" s="7"/>
      <c r="C83" s="578">
        <v>5609</v>
      </c>
      <c r="D83" s="579">
        <v>0.03386566037735849</v>
      </c>
      <c r="E83" s="24"/>
      <c r="F83" s="383">
        <v>0</v>
      </c>
      <c r="G83" s="383">
        <v>171234</v>
      </c>
      <c r="H83" s="383">
        <v>126691</v>
      </c>
      <c r="I83" s="581">
        <v>131206</v>
      </c>
      <c r="J83" s="383">
        <v>153997</v>
      </c>
      <c r="K83" s="383">
        <v>165625</v>
      </c>
      <c r="L83" s="383">
        <v>120110</v>
      </c>
      <c r="M83" s="581">
        <v>101301</v>
      </c>
      <c r="N83" s="383">
        <v>113067</v>
      </c>
      <c r="O83" s="383">
        <v>93581</v>
      </c>
      <c r="P83" s="383">
        <v>69452</v>
      </c>
      <c r="Q83" s="581">
        <v>97377</v>
      </c>
      <c r="R83" s="383">
        <v>163771</v>
      </c>
      <c r="S83" s="383">
        <v>177758</v>
      </c>
      <c r="T83" s="383">
        <v>96963</v>
      </c>
      <c r="U83" s="581">
        <v>100152</v>
      </c>
      <c r="V83" s="383">
        <v>83496</v>
      </c>
      <c r="W83" s="383">
        <v>116090</v>
      </c>
      <c r="X83" s="383">
        <v>78475</v>
      </c>
      <c r="Y83" s="581">
        <v>85497</v>
      </c>
      <c r="Z83" s="382">
        <v>64972</v>
      </c>
      <c r="AA83" s="383">
        <v>49250</v>
      </c>
      <c r="AB83" s="383">
        <v>58336</v>
      </c>
      <c r="AC83" s="581">
        <v>104793</v>
      </c>
      <c r="AD83" s="581">
        <v>104793</v>
      </c>
      <c r="AE83" s="2"/>
      <c r="AF83" s="2"/>
      <c r="AG83" s="2"/>
      <c r="AH83" s="2"/>
      <c r="AI83" s="2"/>
      <c r="AJ83" s="2"/>
      <c r="AK83" s="2"/>
      <c r="AL83" s="24"/>
      <c r="AM83" s="610">
        <v>429131</v>
      </c>
      <c r="AN83" s="610">
        <v>387036</v>
      </c>
      <c r="AO83" s="623">
        <v>42095</v>
      </c>
      <c r="AP83" s="170">
        <v>0.10876249237797</v>
      </c>
      <c r="AR83" s="584">
        <v>541033</v>
      </c>
      <c r="AS83" s="584">
        <v>373477</v>
      </c>
      <c r="AT83" s="584">
        <v>538644</v>
      </c>
      <c r="AU83" s="584">
        <v>363558</v>
      </c>
      <c r="AV83" s="580">
        <v>277351</v>
      </c>
      <c r="AW83" s="583">
        <v>431642</v>
      </c>
      <c r="AX83" s="584">
        <v>449717</v>
      </c>
      <c r="AY83" s="173">
        <v>333666</v>
      </c>
      <c r="AZ83" s="145"/>
      <c r="BA83" s="145"/>
      <c r="BB83" s="25"/>
    </row>
    <row r="84" spans="1:54" ht="11.25" customHeight="1">
      <c r="A84" s="193"/>
      <c r="B84" s="7"/>
      <c r="C84" s="464"/>
      <c r="D84" s="392"/>
      <c r="E84" s="24"/>
      <c r="F84" s="390"/>
      <c r="G84" s="390"/>
      <c r="H84" s="390"/>
      <c r="I84" s="702"/>
      <c r="J84" s="390"/>
      <c r="K84" s="390"/>
      <c r="L84" s="390"/>
      <c r="M84" s="702"/>
      <c r="N84" s="230"/>
      <c r="O84" s="390"/>
      <c r="P84" s="390"/>
      <c r="Q84" s="702"/>
      <c r="R84" s="230"/>
      <c r="S84" s="390"/>
      <c r="T84" s="390"/>
      <c r="U84" s="702"/>
      <c r="V84" s="230"/>
      <c r="W84" s="702"/>
      <c r="X84" s="702"/>
      <c r="Y84" s="702"/>
      <c r="Z84" s="380"/>
      <c r="AA84" s="380"/>
      <c r="AB84" s="380"/>
      <c r="AC84" s="380"/>
      <c r="AD84" s="380"/>
      <c r="AE84" s="2"/>
      <c r="AF84" s="2"/>
      <c r="AG84" s="2"/>
      <c r="AH84" s="2"/>
      <c r="AI84" s="2"/>
      <c r="AJ84" s="2"/>
      <c r="AK84" s="2"/>
      <c r="AL84" s="24"/>
      <c r="AM84" s="230"/>
      <c r="AN84" s="390"/>
      <c r="AO84" s="390"/>
      <c r="AP84" s="702"/>
      <c r="AR84" s="703"/>
      <c r="AS84" s="703"/>
      <c r="AT84" s="703"/>
      <c r="AU84" s="703"/>
      <c r="AV84" s="505"/>
      <c r="AW84" s="703"/>
      <c r="AX84" s="703"/>
      <c r="AY84" s="213"/>
      <c r="AZ84" s="145"/>
      <c r="BA84" s="145"/>
      <c r="BB84" s="25"/>
    </row>
    <row r="85" spans="1:54" ht="13.5" customHeight="1">
      <c r="A85" s="83"/>
      <c r="B85" s="7" t="s">
        <v>476</v>
      </c>
      <c r="C85" s="154">
        <v>1015</v>
      </c>
      <c r="D85" s="155">
        <v>0.2492020623618954</v>
      </c>
      <c r="E85" s="89"/>
      <c r="F85" s="474"/>
      <c r="G85" s="474">
        <v>-3058</v>
      </c>
      <c r="H85" s="1339">
        <v>-4564</v>
      </c>
      <c r="I85" s="860">
        <v>-2711</v>
      </c>
      <c r="J85" s="1339">
        <v>-4936</v>
      </c>
      <c r="K85" s="1339">
        <v>-4073</v>
      </c>
      <c r="L85" s="1339">
        <v>-1622</v>
      </c>
      <c r="M85" s="860">
        <v>-4802</v>
      </c>
      <c r="N85" s="1339">
        <v>-1603</v>
      </c>
      <c r="O85" s="1339">
        <v>-6363</v>
      </c>
      <c r="P85" s="1339">
        <v>-7649</v>
      </c>
      <c r="Q85" s="860">
        <v>-12509</v>
      </c>
      <c r="R85" s="1339">
        <v>-10900</v>
      </c>
      <c r="S85" s="1339">
        <v>-2762</v>
      </c>
      <c r="T85" s="1339">
        <v>-6393</v>
      </c>
      <c r="U85" s="860">
        <v>-8241</v>
      </c>
      <c r="V85" s="859" t="s">
        <v>214</v>
      </c>
      <c r="W85" s="859" t="s">
        <v>214</v>
      </c>
      <c r="X85" s="621" t="s">
        <v>214</v>
      </c>
      <c r="Y85" s="762" t="s">
        <v>214</v>
      </c>
      <c r="Z85" s="1348"/>
      <c r="AA85" s="488"/>
      <c r="AB85" s="488"/>
      <c r="AC85" s="762"/>
      <c r="AD85" s="855"/>
      <c r="AE85" s="610"/>
      <c r="AF85" s="610"/>
      <c r="AG85" s="488"/>
      <c r="AH85" s="610"/>
      <c r="AI85" s="488"/>
      <c r="AJ85" s="488"/>
      <c r="AK85" s="610"/>
      <c r="AL85" s="662"/>
      <c r="AM85" s="611">
        <v>-10333</v>
      </c>
      <c r="AN85" s="611">
        <v>-10497</v>
      </c>
      <c r="AO85" s="611">
        <v>164</v>
      </c>
      <c r="AP85" s="149">
        <v>0.015623511479470324</v>
      </c>
      <c r="AQ85" s="148"/>
      <c r="AR85" s="1233">
        <v>-15433</v>
      </c>
      <c r="AS85" s="1233">
        <v>-28124</v>
      </c>
      <c r="AT85" s="1326">
        <v>-28296</v>
      </c>
      <c r="AU85" s="305" t="s">
        <v>214</v>
      </c>
      <c r="AV85" s="305" t="s">
        <v>214</v>
      </c>
      <c r="AW85" s="239" t="s">
        <v>214</v>
      </c>
      <c r="AX85" s="207" t="s">
        <v>214</v>
      </c>
      <c r="AY85" s="43"/>
      <c r="AZ85" s="145"/>
      <c r="BA85" s="145"/>
      <c r="BB85" s="25"/>
    </row>
    <row r="86" spans="1:53" ht="12.75" customHeight="1">
      <c r="A86" s="193"/>
      <c r="B86" s="7"/>
      <c r="C86" s="153"/>
      <c r="D86" s="11"/>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2"/>
      <c r="AF86" s="2"/>
      <c r="AG86" s="2"/>
      <c r="AH86" s="2"/>
      <c r="AI86" s="2"/>
      <c r="AJ86" s="2"/>
      <c r="AK86" s="2"/>
      <c r="AL86" s="3"/>
      <c r="AM86" s="3"/>
      <c r="AN86" s="3"/>
      <c r="AO86" s="701"/>
      <c r="AP86" s="41"/>
      <c r="AR86" s="610"/>
      <c r="AS86" s="610"/>
      <c r="AT86" s="610"/>
      <c r="AU86" s="610"/>
      <c r="AV86" s="380"/>
      <c r="AW86" s="610"/>
      <c r="AX86" s="610"/>
      <c r="AY86" s="213"/>
      <c r="AZ86" s="145"/>
      <c r="BA86" s="145"/>
    </row>
    <row r="87" spans="1:52" ht="12.75" customHeight="1">
      <c r="A87" s="7" t="s">
        <v>405</v>
      </c>
      <c r="B87" s="13"/>
      <c r="C87" s="13"/>
      <c r="D87" s="13"/>
      <c r="E87" s="13"/>
      <c r="F87" s="858"/>
      <c r="G87" s="858"/>
      <c r="H87" s="858"/>
      <c r="I87" s="858"/>
      <c r="J87" s="1323"/>
      <c r="K87" s="858"/>
      <c r="L87" s="858"/>
      <c r="M87" s="858"/>
      <c r="N87" s="858"/>
      <c r="O87" s="858"/>
      <c r="P87" s="858"/>
      <c r="Q87" s="858"/>
      <c r="R87" s="858"/>
      <c r="S87" s="858"/>
      <c r="T87" s="858"/>
      <c r="U87" s="15"/>
      <c r="V87" s="13"/>
      <c r="W87" s="13"/>
      <c r="X87" s="13"/>
      <c r="Y87" s="15"/>
      <c r="Z87" s="13"/>
      <c r="AA87" s="13"/>
      <c r="AB87" s="13"/>
      <c r="AC87" s="15"/>
      <c r="AD87" s="15"/>
      <c r="AE87" s="15"/>
      <c r="AF87" s="15"/>
      <c r="AG87" s="15"/>
      <c r="AH87" s="15"/>
      <c r="AI87" s="15"/>
      <c r="AJ87" s="15"/>
      <c r="AK87" s="15"/>
      <c r="AL87" s="3"/>
      <c r="AM87" s="3"/>
      <c r="AN87" s="3"/>
      <c r="AW87" s="2"/>
      <c r="AX87" s="2"/>
      <c r="AY87" s="83"/>
      <c r="AZ87" s="83"/>
    </row>
    <row r="88" spans="1:51" ht="12.75">
      <c r="A88" s="3"/>
      <c r="B88" s="3"/>
      <c r="C88" s="3"/>
      <c r="D88" s="3"/>
      <c r="F88" s="457"/>
      <c r="G88" s="457"/>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c r="AK88" s="457"/>
      <c r="AL88" s="457"/>
      <c r="AM88" s="457"/>
      <c r="AN88" s="457"/>
      <c r="AO88" s="457"/>
      <c r="AP88" s="457"/>
      <c r="AQ88" s="457"/>
      <c r="AR88" s="457"/>
      <c r="AS88" s="457"/>
      <c r="AT88" s="457"/>
      <c r="AU88" s="457"/>
      <c r="AV88" s="457"/>
      <c r="AW88" s="457"/>
      <c r="AX88" s="457"/>
      <c r="AY88" s="457"/>
    </row>
    <row r="89" spans="9:50" ht="12.75">
      <c r="I89" s="31"/>
      <c r="M89" s="31"/>
      <c r="Q89" s="31"/>
      <c r="U89" s="31"/>
      <c r="Y89" s="31"/>
      <c r="AC89" s="31"/>
      <c r="AD89" s="3"/>
      <c r="AE89" s="3"/>
      <c r="AF89" s="3"/>
      <c r="AG89" s="3"/>
      <c r="AH89" s="3"/>
      <c r="AI89" s="3"/>
      <c r="AJ89" s="3"/>
      <c r="AK89" s="31"/>
      <c r="AL89" s="3"/>
      <c r="AM89" s="3"/>
      <c r="AN89" s="3"/>
      <c r="AO89" s="3"/>
      <c r="AP89" s="3"/>
      <c r="AQ89" s="3"/>
      <c r="AR89" s="457"/>
      <c r="AS89" s="457"/>
      <c r="AT89" s="457"/>
      <c r="AU89" s="457"/>
      <c r="AW89" s="31"/>
      <c r="AX89" s="31"/>
    </row>
    <row r="90" spans="6:51" ht="12.75">
      <c r="F90" s="457"/>
      <c r="G90" s="457"/>
      <c r="H90" s="457"/>
      <c r="I90" s="457"/>
      <c r="J90" s="457"/>
      <c r="K90" s="457"/>
      <c r="L90" s="457"/>
      <c r="M90" s="457"/>
      <c r="N90" s="457"/>
      <c r="O90" s="457"/>
      <c r="P90" s="457"/>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row>
    <row r="91" spans="6:51" ht="12.75">
      <c r="F91" s="457"/>
      <c r="G91" s="457"/>
      <c r="H91" s="457"/>
      <c r="I91" s="457"/>
      <c r="J91" s="457"/>
      <c r="K91" s="457"/>
      <c r="L91" s="457"/>
      <c r="M91" s="457"/>
      <c r="N91" s="457"/>
      <c r="O91" s="457"/>
      <c r="P91" s="457"/>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911"/>
      <c r="AS91" s="911"/>
      <c r="AT91" s="457"/>
      <c r="AU91" s="457"/>
      <c r="AV91" s="457"/>
      <c r="AW91" s="457"/>
      <c r="AX91" s="457"/>
      <c r="AY91" s="457"/>
    </row>
    <row r="92" spans="6:51" ht="12.75">
      <c r="F92" s="457"/>
      <c r="G92" s="457"/>
      <c r="H92" s="457"/>
      <c r="I92" s="457"/>
      <c r="J92" s="457"/>
      <c r="K92" s="457"/>
      <c r="L92" s="457"/>
      <c r="M92" s="457"/>
      <c r="N92" s="457"/>
      <c r="O92" s="457"/>
      <c r="P92" s="457"/>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row>
    <row r="93" spans="6:51" ht="12.75">
      <c r="F93" s="457"/>
      <c r="G93" s="457"/>
      <c r="H93" s="457"/>
      <c r="I93" s="457"/>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row>
    <row r="94" spans="29:51" ht="12.75">
      <c r="AC94" s="32"/>
      <c r="AD94" s="3"/>
      <c r="AE94" s="3"/>
      <c r="AF94" s="3"/>
      <c r="AG94" s="3"/>
      <c r="AH94" s="3"/>
      <c r="AI94" s="3"/>
      <c r="AJ94" s="3"/>
      <c r="AK94" s="11"/>
      <c r="AL94" s="3"/>
      <c r="AM94" s="3"/>
      <c r="AN94" s="3"/>
      <c r="AO94" s="3"/>
      <c r="AP94" s="3"/>
      <c r="AQ94" s="3"/>
      <c r="AR94" s="595"/>
      <c r="AS94" s="3"/>
      <c r="AT94" s="3"/>
      <c r="AU94" s="3"/>
      <c r="AV94" s="3"/>
      <c r="AW94" s="32"/>
      <c r="AX94" s="32"/>
      <c r="AY94" s="3"/>
    </row>
    <row r="95" spans="29:50" ht="12.75">
      <c r="AC95" s="33"/>
      <c r="AD95" s="3"/>
      <c r="AE95" s="3"/>
      <c r="AF95" s="3"/>
      <c r="AG95" s="3"/>
      <c r="AH95" s="3"/>
      <c r="AI95" s="3"/>
      <c r="AJ95" s="3"/>
      <c r="AK95" s="33"/>
      <c r="AL95" s="3"/>
      <c r="AM95" s="3"/>
      <c r="AN95" s="3"/>
      <c r="AO95" s="3"/>
      <c r="AP95" s="3"/>
      <c r="AQ95" s="3"/>
      <c r="AR95" s="3"/>
      <c r="AS95" s="3"/>
      <c r="AT95" s="3"/>
      <c r="AU95" s="3"/>
      <c r="AW95" s="2"/>
      <c r="AX95" s="2"/>
    </row>
    <row r="96" spans="29:50" ht="12.75">
      <c r="AC96" s="2"/>
      <c r="AD96" s="3"/>
      <c r="AE96" s="3"/>
      <c r="AF96" s="3"/>
      <c r="AG96" s="3"/>
      <c r="AH96" s="3"/>
      <c r="AI96" s="3"/>
      <c r="AJ96" s="3"/>
      <c r="AK96" s="152"/>
      <c r="AL96" s="3"/>
      <c r="AM96" s="3"/>
      <c r="AN96" s="3"/>
      <c r="AO96" s="3"/>
      <c r="AP96" s="3"/>
      <c r="AQ96" s="3"/>
      <c r="AR96" s="3"/>
      <c r="AS96" s="3"/>
      <c r="AT96" s="3"/>
      <c r="AU96" s="3"/>
      <c r="AW96" s="2"/>
      <c r="AX96" s="2"/>
    </row>
    <row r="97" spans="29:50" ht="12.75">
      <c r="AC97" s="2"/>
      <c r="AD97" s="2"/>
      <c r="AE97" s="3"/>
      <c r="AF97" s="3"/>
      <c r="AG97" s="2"/>
      <c r="AH97" s="3"/>
      <c r="AI97" s="2"/>
      <c r="AJ97" s="2"/>
      <c r="AK97" s="2"/>
      <c r="AL97" s="3"/>
      <c r="AM97" s="3"/>
      <c r="AN97" s="3"/>
      <c r="AO97" s="3"/>
      <c r="AP97" s="3"/>
      <c r="AQ97" s="3"/>
      <c r="AR97" s="3"/>
      <c r="AS97" s="3"/>
      <c r="AT97" s="3"/>
      <c r="AU97" s="3"/>
      <c r="AW97" s="51"/>
      <c r="AX97" s="51"/>
    </row>
    <row r="98" spans="29:50" ht="12.75">
      <c r="AC98" s="32"/>
      <c r="AD98" s="44"/>
      <c r="AE98" s="32"/>
      <c r="AF98" s="32"/>
      <c r="AG98" s="32"/>
      <c r="AH98" s="37"/>
      <c r="AI98" s="37"/>
      <c r="AJ98" s="34"/>
      <c r="AK98" s="1"/>
      <c r="AL98" s="3"/>
      <c r="AM98" s="3"/>
      <c r="AN98" s="3"/>
      <c r="AO98" s="3"/>
      <c r="AP98" s="3"/>
      <c r="AQ98" s="3"/>
      <c r="AR98" s="3"/>
      <c r="AS98" s="3"/>
      <c r="AT98" s="3"/>
      <c r="AU98" s="3"/>
      <c r="AW98" s="51"/>
      <c r="AX98" s="51"/>
    </row>
    <row r="99" spans="29:50" ht="12.75">
      <c r="AC99" s="32"/>
      <c r="AD99" s="32"/>
      <c r="AE99" s="32"/>
      <c r="AF99" s="32"/>
      <c r="AG99" s="32"/>
      <c r="AH99" s="40"/>
      <c r="AI99" s="32"/>
      <c r="AJ99" s="32"/>
      <c r="AK99" s="32"/>
      <c r="AL99" s="3"/>
      <c r="AM99" s="3"/>
      <c r="AN99" s="3"/>
      <c r="AW99" s="52"/>
      <c r="AX99" s="52"/>
    </row>
    <row r="100" spans="29:50" ht="12.75">
      <c r="AC100" s="11"/>
      <c r="AD100" s="42"/>
      <c r="AE100" s="35"/>
      <c r="AF100" s="35"/>
      <c r="AG100" s="35"/>
      <c r="AH100" s="42"/>
      <c r="AI100" s="35"/>
      <c r="AJ100" s="35"/>
      <c r="AK100" s="47"/>
      <c r="AL100" s="3"/>
      <c r="AM100" s="3"/>
      <c r="AN100" s="3"/>
      <c r="AW100" s="53"/>
      <c r="AX100" s="53"/>
    </row>
    <row r="101" spans="29:50" ht="12.75">
      <c r="AC101" s="11"/>
      <c r="AD101" s="35"/>
      <c r="AE101" s="35"/>
      <c r="AF101" s="35"/>
      <c r="AG101" s="35"/>
      <c r="AH101" s="35"/>
      <c r="AI101" s="35"/>
      <c r="AJ101" s="35"/>
      <c r="AK101" s="47"/>
      <c r="AL101" s="3"/>
      <c r="AM101" s="3"/>
      <c r="AN101" s="3"/>
      <c r="AW101" s="35"/>
      <c r="AX101" s="35"/>
    </row>
    <row r="102" spans="29:50" ht="12.75">
      <c r="AC102" s="11"/>
      <c r="AD102" s="35"/>
      <c r="AE102" s="35"/>
      <c r="AF102" s="35"/>
      <c r="AG102" s="35"/>
      <c r="AH102" s="35"/>
      <c r="AI102" s="35"/>
      <c r="AJ102" s="35"/>
      <c r="AK102" s="41"/>
      <c r="AL102" s="3"/>
      <c r="AM102" s="3"/>
      <c r="AN102" s="3"/>
      <c r="AW102" s="35"/>
      <c r="AX102" s="35"/>
    </row>
    <row r="103" spans="29:50" ht="12.75">
      <c r="AC103" s="35"/>
      <c r="AD103" s="35"/>
      <c r="AE103" s="35"/>
      <c r="AF103" s="35"/>
      <c r="AG103" s="35"/>
      <c r="AH103" s="35"/>
      <c r="AI103" s="35"/>
      <c r="AJ103" s="35"/>
      <c r="AK103" s="35"/>
      <c r="AL103" s="3"/>
      <c r="AM103" s="3"/>
      <c r="AN103" s="3"/>
      <c r="AW103" s="36"/>
      <c r="AX103" s="36"/>
    </row>
    <row r="104" spans="29:50" ht="12.75">
      <c r="AC104" s="36"/>
      <c r="AD104" s="36"/>
      <c r="AE104" s="36"/>
      <c r="AF104" s="36"/>
      <c r="AG104" s="36"/>
      <c r="AH104" s="36"/>
      <c r="AI104" s="36"/>
      <c r="AJ104" s="36"/>
      <c r="AK104" s="36"/>
      <c r="AL104" s="3"/>
      <c r="AM104" s="3"/>
      <c r="AN104" s="3"/>
      <c r="AW104" s="36"/>
      <c r="AX104" s="36"/>
    </row>
    <row r="105" spans="29:50" ht="12.75">
      <c r="AC105" s="36"/>
      <c r="AD105" s="36"/>
      <c r="AE105" s="36"/>
      <c r="AF105" s="36"/>
      <c r="AG105" s="36"/>
      <c r="AH105" s="36"/>
      <c r="AI105" s="36"/>
      <c r="AJ105" s="36"/>
      <c r="AK105" s="36"/>
      <c r="AL105" s="3"/>
      <c r="AM105" s="3"/>
      <c r="AN105" s="3"/>
      <c r="AW105" s="3"/>
      <c r="AX105" s="3"/>
    </row>
    <row r="106" spans="29:50" ht="12.75">
      <c r="AC106" s="3"/>
      <c r="AD106" s="3"/>
      <c r="AE106" s="3"/>
      <c r="AF106" s="3"/>
      <c r="AG106" s="3"/>
      <c r="AH106" s="3"/>
      <c r="AI106" s="3"/>
      <c r="AJ106" s="3"/>
      <c r="AK106" s="3"/>
      <c r="AL106" s="3"/>
      <c r="AM106" s="3"/>
      <c r="AN106" s="3"/>
      <c r="AW106" s="3"/>
      <c r="AX106" s="3"/>
    </row>
    <row r="107" spans="29:50" ht="12.75">
      <c r="AC107" s="3"/>
      <c r="AD107" s="3"/>
      <c r="AE107" s="3"/>
      <c r="AF107" s="3"/>
      <c r="AG107" s="3"/>
      <c r="AH107" s="3"/>
      <c r="AI107" s="3"/>
      <c r="AJ107" s="3"/>
      <c r="AK107" s="3"/>
      <c r="AL107" s="3"/>
      <c r="AM107" s="3"/>
      <c r="AN107" s="3"/>
      <c r="AW107" s="3"/>
      <c r="AX107" s="3"/>
    </row>
    <row r="108" spans="29:50" ht="12.75">
      <c r="AC108" s="3"/>
      <c r="AD108" s="3"/>
      <c r="AE108" s="3"/>
      <c r="AF108" s="3"/>
      <c r="AG108" s="3"/>
      <c r="AH108" s="3"/>
      <c r="AI108" s="3"/>
      <c r="AJ108" s="3"/>
      <c r="AK108" s="3"/>
      <c r="AL108" s="3"/>
      <c r="AM108" s="3"/>
      <c r="AN108" s="3"/>
      <c r="AW108" s="3"/>
      <c r="AX108" s="3"/>
    </row>
    <row r="109" spans="29:50" ht="12.75">
      <c r="AC109" s="3"/>
      <c r="AD109" s="3"/>
      <c r="AE109" s="3"/>
      <c r="AF109" s="3"/>
      <c r="AG109" s="3"/>
      <c r="AH109" s="3"/>
      <c r="AI109" s="3"/>
      <c r="AJ109" s="3"/>
      <c r="AK109" s="3"/>
      <c r="AL109" s="3"/>
      <c r="AM109" s="3"/>
      <c r="AN109" s="3"/>
      <c r="AW109" s="3"/>
      <c r="AX109" s="3"/>
    </row>
    <row r="110" spans="29:40" ht="12.75">
      <c r="AC110" s="3"/>
      <c r="AD110" s="3"/>
      <c r="AE110" s="3"/>
      <c r="AF110" s="3"/>
      <c r="AG110" s="3"/>
      <c r="AH110" s="3"/>
      <c r="AI110" s="3"/>
      <c r="AJ110" s="3"/>
      <c r="AK110" s="3"/>
      <c r="AL110" s="3"/>
      <c r="AM110" s="3"/>
      <c r="AN110" s="3"/>
    </row>
  </sheetData>
  <sheetProtection/>
  <mergeCells count="10">
    <mergeCell ref="C12:D12"/>
    <mergeCell ref="C13:D13"/>
    <mergeCell ref="AO13:AP13"/>
    <mergeCell ref="A42:B42"/>
    <mergeCell ref="C63:D63"/>
    <mergeCell ref="C64:D64"/>
    <mergeCell ref="AO64:AP64"/>
    <mergeCell ref="C75:D75"/>
    <mergeCell ref="C76:D76"/>
    <mergeCell ref="AO76:AP76"/>
  </mergeCells>
  <conditionalFormatting sqref="A86 AW57:AZ57 AW52:AX56 A82:A84 A61:A62 AD52:AD56 AE52:AK57 AD70:AK73 AU52:AV57 A74 A52:A53 B49:B53 A49 AX70:AX73 AU70:AW71 AS73:AW73">
    <cfRule type="cellIs" priority="2" dxfId="0" operator="equal" stopIfTrue="1">
      <formula>0</formula>
    </cfRule>
  </conditionalFormatting>
  <conditionalFormatting sqref="AR73">
    <cfRule type="cellIs" priority="1" dxfId="0" operator="equal" stopIfTrue="1">
      <formula>0</formula>
    </cfRule>
  </conditionalFormatting>
  <printOptions horizontalCentered="1"/>
  <pageMargins left="0.05" right="0.05" top="0.4" bottom="0.6" header="0" footer="0.3"/>
  <pageSetup fitToHeight="1" fitToWidth="1" horizontalDpi="600" verticalDpi="600" orientation="landscape" scale="50" r:id="rId2"/>
  <headerFooter alignWithMargins="0">
    <oddFooter>&amp;CPage 3</oddFooter>
  </headerFooter>
  <colBreaks count="1" manualBreakCount="1">
    <brk id="51" max="7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BI99"/>
  <sheetViews>
    <sheetView zoomScale="60" zoomScaleNormal="60" zoomScaleSheetLayoutView="80" workbookViewId="0" topLeftCell="A1">
      <selection activeCell="A1" sqref="A1"/>
    </sheetView>
  </sheetViews>
  <sheetFormatPr defaultColWidth="9.140625" defaultRowHeight="12.75"/>
  <cols>
    <col min="1" max="1" width="2.7109375" style="956" customWidth="1"/>
    <col min="2" max="2" width="45.7109375" style="956" customWidth="1"/>
    <col min="3" max="3" width="9.57421875" style="956" customWidth="1"/>
    <col min="4" max="4" width="9.7109375" style="956" customWidth="1"/>
    <col min="5" max="5" width="1.57421875" style="957" customWidth="1"/>
    <col min="6" max="6" width="8.7109375" style="957" hidden="1" customWidth="1"/>
    <col min="7" max="15" width="8.7109375" style="957" customWidth="1"/>
    <col min="16" max="21" width="8.7109375" style="957" hidden="1" customWidth="1"/>
    <col min="22" max="28" width="9.7109375" style="957" hidden="1" customWidth="1"/>
    <col min="29" max="37" width="9.7109375" style="956" hidden="1" customWidth="1"/>
    <col min="38" max="38" width="1.57421875" style="956" customWidth="1"/>
    <col min="39" max="39" width="9.421875" style="956" customWidth="1"/>
    <col min="40" max="40" width="9.00390625" style="956" customWidth="1"/>
    <col min="41" max="42" width="9.7109375" style="959" customWidth="1"/>
    <col min="43" max="43" width="1.57421875" style="956" customWidth="1"/>
    <col min="44" max="48" width="9.7109375" style="956" customWidth="1"/>
    <col min="49" max="53" width="9.7109375" style="956" hidden="1" customWidth="1"/>
    <col min="54" max="54" width="1.57421875" style="956" customWidth="1"/>
    <col min="55" max="16384" width="9.140625" style="956" customWidth="1"/>
  </cols>
  <sheetData>
    <row r="2" spans="7:25" ht="12.75">
      <c r="G2" s="958"/>
      <c r="H2" s="958"/>
      <c r="I2" s="958"/>
      <c r="K2" s="958"/>
      <c r="L2" s="958"/>
      <c r="M2" s="958"/>
      <c r="P2" s="958"/>
      <c r="Q2" s="958"/>
      <c r="T2" s="958"/>
      <c r="U2" s="958"/>
      <c r="X2" s="958"/>
      <c r="Y2" s="958"/>
    </row>
    <row r="3" ht="12.75"/>
    <row r="4" ht="12.75"/>
    <row r="5" spans="1:31" ht="12.75">
      <c r="A5" s="957"/>
      <c r="B5" s="957"/>
      <c r="C5" s="957"/>
      <c r="D5" s="957"/>
      <c r="AC5" s="957"/>
      <c r="AD5" s="957"/>
      <c r="AE5" s="957"/>
    </row>
    <row r="6" spans="1:31" ht="18" customHeight="1">
      <c r="A6" s="960" t="s">
        <v>452</v>
      </c>
      <c r="B6" s="957"/>
      <c r="C6" s="957"/>
      <c r="D6" s="957"/>
      <c r="AC6" s="957"/>
      <c r="AD6" s="957"/>
      <c r="AE6" s="957"/>
    </row>
    <row r="7" spans="1:31" ht="18" customHeight="1">
      <c r="A7" s="960" t="s">
        <v>493</v>
      </c>
      <c r="B7" s="957"/>
      <c r="C7" s="957"/>
      <c r="D7" s="957"/>
      <c r="AC7" s="957"/>
      <c r="AD7" s="957"/>
      <c r="AE7" s="957"/>
    </row>
    <row r="8" spans="1:31" ht="18" customHeight="1">
      <c r="A8" s="960" t="s">
        <v>488</v>
      </c>
      <c r="B8" s="961"/>
      <c r="C8" s="961"/>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57"/>
      <c r="AD8" s="957"/>
      <c r="AE8" s="957"/>
    </row>
    <row r="9" spans="1:42" ht="9.75" customHeight="1">
      <c r="A9" s="962"/>
      <c r="B9" s="962"/>
      <c r="C9" s="962"/>
      <c r="D9" s="962"/>
      <c r="E9" s="962"/>
      <c r="F9" s="962"/>
      <c r="G9" s="963"/>
      <c r="H9" s="963"/>
      <c r="I9" s="962"/>
      <c r="J9" s="962"/>
      <c r="K9" s="963"/>
      <c r="L9" s="963"/>
      <c r="M9" s="962"/>
      <c r="N9" s="962"/>
      <c r="O9" s="962"/>
      <c r="P9" s="963"/>
      <c r="Q9" s="962"/>
      <c r="R9" s="963"/>
      <c r="S9" s="962"/>
      <c r="T9" s="963"/>
      <c r="U9" s="962"/>
      <c r="V9" s="963"/>
      <c r="W9" s="962"/>
      <c r="X9" s="963"/>
      <c r="Y9" s="962"/>
      <c r="Z9" s="963"/>
      <c r="AA9" s="962"/>
      <c r="AB9" s="962"/>
      <c r="AC9" s="957"/>
      <c r="AD9" s="957"/>
      <c r="AE9" s="957"/>
      <c r="AO9" s="964"/>
      <c r="AP9" s="964"/>
    </row>
    <row r="10" spans="1:54" ht="12.75">
      <c r="A10" s="965" t="s">
        <v>1</v>
      </c>
      <c r="B10" s="966"/>
      <c r="C10" s="1445" t="s">
        <v>497</v>
      </c>
      <c r="D10" s="1446"/>
      <c r="E10" s="967"/>
      <c r="F10" s="968"/>
      <c r="G10" s="968"/>
      <c r="I10" s="969"/>
      <c r="J10" s="968"/>
      <c r="K10" s="968"/>
      <c r="M10" s="969"/>
      <c r="N10" s="968"/>
      <c r="O10" s="968"/>
      <c r="Q10" s="969"/>
      <c r="R10" s="968"/>
      <c r="S10" s="968"/>
      <c r="U10" s="969"/>
      <c r="V10" s="968"/>
      <c r="W10" s="968"/>
      <c r="Y10" s="969"/>
      <c r="AA10" s="968"/>
      <c r="AB10" s="968"/>
      <c r="AC10" s="969"/>
      <c r="AD10" s="968"/>
      <c r="AE10" s="968"/>
      <c r="AF10" s="968"/>
      <c r="AG10" s="968"/>
      <c r="AH10" s="970"/>
      <c r="AI10" s="969"/>
      <c r="AJ10" s="969"/>
      <c r="AK10" s="969"/>
      <c r="AL10" s="971"/>
      <c r="AM10" s="725" t="s">
        <v>406</v>
      </c>
      <c r="AN10" s="711"/>
      <c r="AO10" s="711" t="s">
        <v>480</v>
      </c>
      <c r="AP10" s="712"/>
      <c r="AQ10" s="972"/>
      <c r="AR10" s="973"/>
      <c r="AS10" s="973"/>
      <c r="AT10" s="973"/>
      <c r="AU10" s="973"/>
      <c r="AV10" s="973"/>
      <c r="AW10" s="970"/>
      <c r="AX10" s="974"/>
      <c r="AY10" s="973"/>
      <c r="AZ10" s="975"/>
      <c r="BA10" s="975"/>
      <c r="BB10" s="976"/>
    </row>
    <row r="11" spans="1:61" ht="13.5">
      <c r="A11" s="965" t="s">
        <v>2</v>
      </c>
      <c r="B11" s="966"/>
      <c r="C11" s="1447" t="s">
        <v>41</v>
      </c>
      <c r="D11" s="1448"/>
      <c r="E11" s="977"/>
      <c r="F11" s="978"/>
      <c r="G11" s="978" t="s">
        <v>430</v>
      </c>
      <c r="H11" s="978" t="s">
        <v>429</v>
      </c>
      <c r="I11" s="979" t="s">
        <v>427</v>
      </c>
      <c r="J11" s="978" t="s">
        <v>362</v>
      </c>
      <c r="K11" s="978" t="s">
        <v>363</v>
      </c>
      <c r="L11" s="978" t="s">
        <v>364</v>
      </c>
      <c r="M11" s="979" t="s">
        <v>365</v>
      </c>
      <c r="N11" s="978" t="s">
        <v>277</v>
      </c>
      <c r="O11" s="978" t="s">
        <v>278</v>
      </c>
      <c r="P11" s="978" t="s">
        <v>279</v>
      </c>
      <c r="Q11" s="979" t="s">
        <v>276</v>
      </c>
      <c r="R11" s="978" t="s">
        <v>222</v>
      </c>
      <c r="S11" s="978" t="s">
        <v>223</v>
      </c>
      <c r="T11" s="978" t="s">
        <v>224</v>
      </c>
      <c r="U11" s="979" t="s">
        <v>225</v>
      </c>
      <c r="V11" s="978" t="s">
        <v>141</v>
      </c>
      <c r="W11" s="978" t="s">
        <v>140</v>
      </c>
      <c r="X11" s="978" t="s">
        <v>139</v>
      </c>
      <c r="Y11" s="979" t="s">
        <v>138</v>
      </c>
      <c r="Z11" s="978" t="s">
        <v>91</v>
      </c>
      <c r="AA11" s="978" t="s">
        <v>92</v>
      </c>
      <c r="AB11" s="978" t="s">
        <v>93</v>
      </c>
      <c r="AC11" s="979" t="s">
        <v>32</v>
      </c>
      <c r="AD11" s="978" t="s">
        <v>33</v>
      </c>
      <c r="AE11" s="978" t="s">
        <v>34</v>
      </c>
      <c r="AF11" s="978" t="s">
        <v>35</v>
      </c>
      <c r="AG11" s="978" t="s">
        <v>36</v>
      </c>
      <c r="AH11" s="980" t="s">
        <v>37</v>
      </c>
      <c r="AI11" s="979" t="s">
        <v>38</v>
      </c>
      <c r="AJ11" s="979" t="s">
        <v>39</v>
      </c>
      <c r="AK11" s="979" t="s">
        <v>40</v>
      </c>
      <c r="AL11" s="967"/>
      <c r="AM11" s="21" t="s">
        <v>430</v>
      </c>
      <c r="AN11" s="21" t="s">
        <v>363</v>
      </c>
      <c r="AO11" s="1435" t="s">
        <v>41</v>
      </c>
      <c r="AP11" s="1436"/>
      <c r="AQ11" s="981"/>
      <c r="AR11" s="982" t="s">
        <v>367</v>
      </c>
      <c r="AS11" s="982" t="s">
        <v>285</v>
      </c>
      <c r="AT11" s="982" t="s">
        <v>143</v>
      </c>
      <c r="AU11" s="982" t="s">
        <v>142</v>
      </c>
      <c r="AV11" s="980" t="s">
        <v>45</v>
      </c>
      <c r="AW11" s="980" t="s">
        <v>42</v>
      </c>
      <c r="AX11" s="982" t="s">
        <v>43</v>
      </c>
      <c r="AY11" s="982" t="s">
        <v>165</v>
      </c>
      <c r="AZ11" s="982" t="s">
        <v>166</v>
      </c>
      <c r="BA11" s="982" t="s">
        <v>167</v>
      </c>
      <c r="BB11" s="976"/>
      <c r="BC11" s="957"/>
      <c r="BD11" s="957"/>
      <c r="BE11" s="957"/>
      <c r="BF11" s="957"/>
      <c r="BG11" s="957"/>
      <c r="BH11" s="957"/>
      <c r="BI11" s="957"/>
    </row>
    <row r="12" spans="1:61" s="1000" customFormat="1" ht="12.75">
      <c r="A12" s="965"/>
      <c r="B12" s="965"/>
      <c r="C12" s="983"/>
      <c r="D12" s="984"/>
      <c r="E12" s="985"/>
      <c r="F12" s="986"/>
      <c r="G12" s="986" t="s">
        <v>307</v>
      </c>
      <c r="H12" s="986" t="s">
        <v>307</v>
      </c>
      <c r="I12" s="987" t="s">
        <v>307</v>
      </c>
      <c r="J12" s="986" t="s">
        <v>307</v>
      </c>
      <c r="K12" s="986" t="s">
        <v>307</v>
      </c>
      <c r="L12" s="986" t="s">
        <v>307</v>
      </c>
      <c r="M12" s="987" t="s">
        <v>307</v>
      </c>
      <c r="N12" s="986" t="s">
        <v>307</v>
      </c>
      <c r="O12" s="986" t="s">
        <v>307</v>
      </c>
      <c r="P12" s="986" t="s">
        <v>307</v>
      </c>
      <c r="Q12" s="987" t="s">
        <v>307</v>
      </c>
      <c r="R12" s="986" t="s">
        <v>307</v>
      </c>
      <c r="S12" s="986" t="s">
        <v>307</v>
      </c>
      <c r="T12" s="986" t="s">
        <v>307</v>
      </c>
      <c r="U12" s="987" t="s">
        <v>307</v>
      </c>
      <c r="V12" s="986" t="s">
        <v>308</v>
      </c>
      <c r="W12" s="986" t="s">
        <v>308</v>
      </c>
      <c r="X12" s="986" t="s">
        <v>308</v>
      </c>
      <c r="Y12" s="987" t="s">
        <v>308</v>
      </c>
      <c r="Z12" s="988"/>
      <c r="AA12" s="988"/>
      <c r="AB12" s="988"/>
      <c r="AC12" s="989"/>
      <c r="AD12" s="988"/>
      <c r="AE12" s="988"/>
      <c r="AF12" s="988"/>
      <c r="AG12" s="988"/>
      <c r="AH12" s="990"/>
      <c r="AI12" s="989"/>
      <c r="AJ12" s="989"/>
      <c r="AK12" s="989"/>
      <c r="AL12" s="991"/>
      <c r="AM12" s="992" t="s">
        <v>307</v>
      </c>
      <c r="AN12" s="993" t="s">
        <v>307</v>
      </c>
      <c r="AO12" s="994"/>
      <c r="AP12" s="995"/>
      <c r="AQ12" s="996"/>
      <c r="AR12" s="997" t="s">
        <v>307</v>
      </c>
      <c r="AS12" s="997" t="s">
        <v>307</v>
      </c>
      <c r="AT12" s="997" t="s">
        <v>307</v>
      </c>
      <c r="AU12" s="997" t="s">
        <v>308</v>
      </c>
      <c r="AV12" s="997" t="s">
        <v>308</v>
      </c>
      <c r="AW12" s="997" t="s">
        <v>308</v>
      </c>
      <c r="AX12" s="997" t="s">
        <v>308</v>
      </c>
      <c r="AY12" s="997" t="s">
        <v>308</v>
      </c>
      <c r="AZ12" s="991"/>
      <c r="BA12" s="991"/>
      <c r="BB12" s="998"/>
      <c r="BC12" s="999"/>
      <c r="BD12" s="999"/>
      <c r="BE12" s="999"/>
      <c r="BF12" s="999"/>
      <c r="BG12" s="999"/>
      <c r="BH12" s="999"/>
      <c r="BI12" s="999"/>
    </row>
    <row r="13" spans="1:59" ht="12.75" customHeight="1">
      <c r="A13" s="1001" t="s">
        <v>68</v>
      </c>
      <c r="B13" s="1002"/>
      <c r="C13" s="1003"/>
      <c r="D13" s="1004"/>
      <c r="E13" s="1005"/>
      <c r="F13" s="1006"/>
      <c r="G13" s="1006"/>
      <c r="H13" s="1006"/>
      <c r="I13" s="1004"/>
      <c r="J13" s="1006"/>
      <c r="K13" s="1006"/>
      <c r="L13" s="1006"/>
      <c r="M13" s="1004"/>
      <c r="N13" s="1006"/>
      <c r="O13" s="1006"/>
      <c r="P13" s="1006"/>
      <c r="Q13" s="1004"/>
      <c r="R13" s="1006"/>
      <c r="S13" s="1006"/>
      <c r="T13" s="1006"/>
      <c r="U13" s="1004"/>
      <c r="V13" s="1006"/>
      <c r="W13" s="1006"/>
      <c r="X13" s="1006"/>
      <c r="Y13" s="1004"/>
      <c r="Z13" s="1006"/>
      <c r="AA13" s="1006"/>
      <c r="AB13" s="1006"/>
      <c r="AC13" s="1004"/>
      <c r="AD13" s="1007"/>
      <c r="AE13" s="1006"/>
      <c r="AF13" s="1006"/>
      <c r="AG13" s="1004"/>
      <c r="AH13" s="1003"/>
      <c r="AI13" s="1004"/>
      <c r="AJ13" s="1004"/>
      <c r="AK13" s="1004"/>
      <c r="AL13" s="1005"/>
      <c r="AM13" s="1006"/>
      <c r="AN13" s="1006"/>
      <c r="AO13" s="1008"/>
      <c r="AP13" s="1009"/>
      <c r="AQ13" s="1010"/>
      <c r="AR13" s="1005"/>
      <c r="AS13" s="1005"/>
      <c r="AT13" s="1005"/>
      <c r="AU13" s="1005"/>
      <c r="AV13" s="1005"/>
      <c r="AW13" s="1003"/>
      <c r="AX13" s="1005"/>
      <c r="AY13" s="1011"/>
      <c r="AZ13" s="1012"/>
      <c r="BA13" s="1012"/>
      <c r="BB13" s="976"/>
      <c r="BC13" s="957"/>
      <c r="BD13" s="957"/>
      <c r="BE13" s="957"/>
      <c r="BF13" s="957"/>
      <c r="BG13" s="957"/>
    </row>
    <row r="14" spans="1:59" ht="12.75" customHeight="1">
      <c r="A14" s="966"/>
      <c r="B14" s="1004" t="s">
        <v>452</v>
      </c>
      <c r="C14" s="1013">
        <v>-35171</v>
      </c>
      <c r="D14" s="30">
        <v>-0.46002825228241817</v>
      </c>
      <c r="E14" s="1015"/>
      <c r="F14" s="1016"/>
      <c r="G14" s="1016">
        <v>41283</v>
      </c>
      <c r="H14" s="1303">
        <v>31264</v>
      </c>
      <c r="I14" s="1268">
        <v>32910</v>
      </c>
      <c r="J14" s="1303">
        <v>56814</v>
      </c>
      <c r="K14" s="1303">
        <v>76454</v>
      </c>
      <c r="L14" s="1303">
        <v>35445</v>
      </c>
      <c r="M14" s="1268">
        <v>35624</v>
      </c>
      <c r="N14" s="1303">
        <v>71006</v>
      </c>
      <c r="O14" s="1303">
        <v>56942</v>
      </c>
      <c r="P14" s="1303">
        <v>42491</v>
      </c>
      <c r="Q14" s="1268">
        <v>61867</v>
      </c>
      <c r="R14" s="1303">
        <v>88632</v>
      </c>
      <c r="S14" s="1303">
        <v>109404</v>
      </c>
      <c r="T14" s="1303">
        <v>49909</v>
      </c>
      <c r="U14" s="1268">
        <v>53057</v>
      </c>
      <c r="V14" s="1303">
        <v>32806</v>
      </c>
      <c r="W14" s="1303">
        <v>58040</v>
      </c>
      <c r="X14" s="1304">
        <v>27314</v>
      </c>
      <c r="Y14" s="1268">
        <v>30054</v>
      </c>
      <c r="Z14" s="1215">
        <v>25033</v>
      </c>
      <c r="AA14" s="1215">
        <v>12639</v>
      </c>
      <c r="AB14" s="1215">
        <v>23461</v>
      </c>
      <c r="AC14" s="1268">
        <v>34352</v>
      </c>
      <c r="AD14" s="1287">
        <v>31944</v>
      </c>
      <c r="AE14" s="1273">
        <v>42952</v>
      </c>
      <c r="AF14" s="1273">
        <v>39210</v>
      </c>
      <c r="AG14" s="1290">
        <v>62549</v>
      </c>
      <c r="AH14" s="1289">
        <v>57382</v>
      </c>
      <c r="AI14" s="1290">
        <v>48897</v>
      </c>
      <c r="AJ14" s="1290">
        <v>38533</v>
      </c>
      <c r="AK14" s="1290">
        <v>42750</v>
      </c>
      <c r="AL14" s="1271"/>
      <c r="AM14" s="1303">
        <v>105457</v>
      </c>
      <c r="AN14" s="1303">
        <v>147523</v>
      </c>
      <c r="AO14" s="1024">
        <v>-42066</v>
      </c>
      <c r="AP14" s="1014">
        <v>-0.2851487564650936</v>
      </c>
      <c r="AQ14" s="1010"/>
      <c r="AR14" s="1025">
        <v>204337</v>
      </c>
      <c r="AS14" s="1025">
        <v>232306</v>
      </c>
      <c r="AT14" s="1025">
        <v>338520</v>
      </c>
      <c r="AU14" s="1025">
        <v>177581</v>
      </c>
      <c r="AV14" s="1025">
        <v>122850</v>
      </c>
      <c r="AW14" s="1025">
        <v>176655</v>
      </c>
      <c r="AX14" s="1025">
        <v>187562</v>
      </c>
      <c r="AY14" s="1011">
        <v>150470</v>
      </c>
      <c r="AZ14" s="1011">
        <v>95559</v>
      </c>
      <c r="BA14" s="1011"/>
      <c r="BB14" s="957"/>
      <c r="BC14" s="957"/>
      <c r="BD14" s="957"/>
      <c r="BE14" s="957"/>
      <c r="BF14" s="957"/>
      <c r="BG14" s="957"/>
    </row>
    <row r="15" spans="1:59" ht="12.75" customHeight="1">
      <c r="A15" s="1002"/>
      <c r="B15" s="966"/>
      <c r="C15" s="1026">
        <v>-35171</v>
      </c>
      <c r="D15" s="1027">
        <v>-0.46002825228241817</v>
      </c>
      <c r="E15" s="1015"/>
      <c r="F15" s="1016"/>
      <c r="G15" s="1016">
        <v>41283</v>
      </c>
      <c r="H15" s="1303">
        <v>31264</v>
      </c>
      <c r="I15" s="1305">
        <v>32910</v>
      </c>
      <c r="J15" s="1303">
        <v>56814</v>
      </c>
      <c r="K15" s="1303">
        <v>76454</v>
      </c>
      <c r="L15" s="1303">
        <v>35445</v>
      </c>
      <c r="M15" s="1305">
        <v>35624</v>
      </c>
      <c r="N15" s="1303">
        <v>71006</v>
      </c>
      <c r="O15" s="1303">
        <v>56942</v>
      </c>
      <c r="P15" s="1303">
        <v>42491</v>
      </c>
      <c r="Q15" s="1305">
        <v>61867</v>
      </c>
      <c r="R15" s="1303">
        <v>88632</v>
      </c>
      <c r="S15" s="1303">
        <v>109404</v>
      </c>
      <c r="T15" s="1303">
        <v>49909</v>
      </c>
      <c r="U15" s="1305">
        <v>53057</v>
      </c>
      <c r="V15" s="1303">
        <v>32806</v>
      </c>
      <c r="W15" s="1303">
        <v>58040</v>
      </c>
      <c r="X15" s="1303">
        <v>27314</v>
      </c>
      <c r="Y15" s="1305">
        <v>30054</v>
      </c>
      <c r="Z15" s="1306">
        <v>25033</v>
      </c>
      <c r="AA15" s="1306">
        <v>12639</v>
      </c>
      <c r="AB15" s="1306">
        <v>23461</v>
      </c>
      <c r="AC15" s="1305">
        <v>34352</v>
      </c>
      <c r="AD15" s="1306">
        <v>31944</v>
      </c>
      <c r="AE15" s="1306">
        <v>42952</v>
      </c>
      <c r="AF15" s="1306">
        <v>39210</v>
      </c>
      <c r="AG15" s="1306">
        <v>62549</v>
      </c>
      <c r="AH15" s="1307">
        <v>57382</v>
      </c>
      <c r="AI15" s="1305">
        <v>48897</v>
      </c>
      <c r="AJ15" s="1305">
        <v>38533</v>
      </c>
      <c r="AK15" s="1305">
        <v>42750</v>
      </c>
      <c r="AL15" s="1271"/>
      <c r="AM15" s="1303">
        <v>105457</v>
      </c>
      <c r="AN15" s="1303">
        <v>147523</v>
      </c>
      <c r="AO15" s="1031">
        <v>-42066</v>
      </c>
      <c r="AP15" s="1027">
        <v>-0.2851487564650936</v>
      </c>
      <c r="AQ15" s="1010"/>
      <c r="AR15" s="1032">
        <v>204337</v>
      </c>
      <c r="AS15" s="1032">
        <v>232306</v>
      </c>
      <c r="AT15" s="1032">
        <v>338520</v>
      </c>
      <c r="AU15" s="1032">
        <v>177581</v>
      </c>
      <c r="AV15" s="1032">
        <v>122850</v>
      </c>
      <c r="AW15" s="1032">
        <v>176655</v>
      </c>
      <c r="AX15" s="1032">
        <v>187562</v>
      </c>
      <c r="AY15" s="1033">
        <v>150470</v>
      </c>
      <c r="AZ15" s="1033">
        <v>95559</v>
      </c>
      <c r="BA15" s="1033">
        <v>211758</v>
      </c>
      <c r="BB15" s="957"/>
      <c r="BD15" s="957"/>
      <c r="BE15" s="957"/>
      <c r="BF15" s="957"/>
      <c r="BG15" s="957"/>
    </row>
    <row r="16" spans="1:59" ht="12.75" customHeight="1">
      <c r="A16" s="1001" t="s">
        <v>5</v>
      </c>
      <c r="B16" s="966"/>
      <c r="C16" s="1013"/>
      <c r="D16" s="1014"/>
      <c r="E16" s="1015"/>
      <c r="F16" s="1019"/>
      <c r="G16" s="1019"/>
      <c r="H16" s="1215"/>
      <c r="I16" s="1268"/>
      <c r="J16" s="1215"/>
      <c r="K16" s="1215"/>
      <c r="L16" s="1215"/>
      <c r="M16" s="1268"/>
      <c r="N16" s="1215"/>
      <c r="O16" s="1308"/>
      <c r="P16" s="1215"/>
      <c r="Q16" s="1268"/>
      <c r="R16" s="1215"/>
      <c r="S16" s="1308"/>
      <c r="T16" s="1215"/>
      <c r="U16" s="1268"/>
      <c r="V16" s="1215"/>
      <c r="W16" s="1308"/>
      <c r="X16" s="1215"/>
      <c r="Y16" s="1268"/>
      <c r="Z16" s="1308"/>
      <c r="AA16" s="1308"/>
      <c r="AB16" s="1308"/>
      <c r="AC16" s="1309"/>
      <c r="AD16" s="1269"/>
      <c r="AE16" s="1269"/>
      <c r="AF16" s="1269"/>
      <c r="AG16" s="1269"/>
      <c r="AH16" s="1270"/>
      <c r="AI16" s="1268"/>
      <c r="AJ16" s="1268"/>
      <c r="AK16" s="1268"/>
      <c r="AL16" s="1271"/>
      <c r="AM16" s="1215"/>
      <c r="AN16" s="1215"/>
      <c r="AO16" s="1024"/>
      <c r="AP16" s="1014"/>
      <c r="AQ16" s="1010"/>
      <c r="AR16" s="1038"/>
      <c r="AS16" s="1038"/>
      <c r="AT16" s="1038"/>
      <c r="AU16" s="1038"/>
      <c r="AV16" s="1038"/>
      <c r="AW16" s="1025"/>
      <c r="AX16" s="1025"/>
      <c r="AY16" s="1039"/>
      <c r="AZ16" s="1039"/>
      <c r="BA16" s="1039"/>
      <c r="BB16" s="957"/>
      <c r="BD16" s="957"/>
      <c r="BE16" s="957"/>
      <c r="BF16" s="957"/>
      <c r="BG16" s="957"/>
    </row>
    <row r="17" spans="1:59" ht="12.75" customHeight="1">
      <c r="A17" s="1001"/>
      <c r="B17" s="966" t="s">
        <v>453</v>
      </c>
      <c r="C17" s="1013">
        <v>-16255</v>
      </c>
      <c r="D17" s="1014">
        <v>-0.5022400741541789</v>
      </c>
      <c r="E17" s="1015"/>
      <c r="F17" s="1019"/>
      <c r="G17" s="1019">
        <v>16110</v>
      </c>
      <c r="H17" s="1215">
        <v>10947</v>
      </c>
      <c r="I17" s="1268">
        <v>9008</v>
      </c>
      <c r="J17" s="1215">
        <v>24687</v>
      </c>
      <c r="K17" s="1215">
        <v>32365</v>
      </c>
      <c r="L17" s="1215">
        <v>13998</v>
      </c>
      <c r="M17" s="1268">
        <v>13566</v>
      </c>
      <c r="N17" s="1215">
        <v>30200</v>
      </c>
      <c r="O17" s="1215">
        <v>23452</v>
      </c>
      <c r="P17" s="1215">
        <v>16998</v>
      </c>
      <c r="Q17" s="1268">
        <v>29195</v>
      </c>
      <c r="R17" s="1215">
        <v>43043</v>
      </c>
      <c r="S17" s="1215">
        <v>47584</v>
      </c>
      <c r="T17" s="1215">
        <v>20732</v>
      </c>
      <c r="U17" s="1268"/>
      <c r="V17" s="1215"/>
      <c r="W17" s="1215"/>
      <c r="X17" s="1215"/>
      <c r="Y17" s="1268"/>
      <c r="Z17" s="1215"/>
      <c r="AA17" s="1215"/>
      <c r="AB17" s="1215"/>
      <c r="AC17" s="1268"/>
      <c r="AD17" s="1269"/>
      <c r="AE17" s="1269"/>
      <c r="AF17" s="1269"/>
      <c r="AG17" s="1269"/>
      <c r="AH17" s="1270"/>
      <c r="AI17" s="1268"/>
      <c r="AJ17" s="1268"/>
      <c r="AK17" s="1268"/>
      <c r="AL17" s="1271"/>
      <c r="AM17" s="1215">
        <v>36065</v>
      </c>
      <c r="AN17" s="1269">
        <v>59929</v>
      </c>
      <c r="AO17" s="1024">
        <v>-23864</v>
      </c>
      <c r="AP17" s="1014">
        <v>-0.3982045420414157</v>
      </c>
      <c r="AQ17" s="1010"/>
      <c r="AR17" s="1040">
        <v>84615</v>
      </c>
      <c r="AS17" s="1040">
        <v>99845</v>
      </c>
      <c r="AT17" s="1024">
        <v>147080</v>
      </c>
      <c r="AU17" s="1041">
        <v>86644</v>
      </c>
      <c r="AV17" s="1041">
        <v>63086</v>
      </c>
      <c r="AW17" s="1041">
        <v>88234</v>
      </c>
      <c r="AX17" s="1042"/>
      <c r="AY17" s="1039"/>
      <c r="AZ17" s="1039"/>
      <c r="BA17" s="1039"/>
      <c r="BB17" s="957"/>
      <c r="BD17" s="957"/>
      <c r="BE17" s="957"/>
      <c r="BF17" s="957"/>
      <c r="BG17" s="957"/>
    </row>
    <row r="18" spans="1:59" ht="12.75" customHeight="1">
      <c r="A18" s="1001"/>
      <c r="B18" s="966" t="s">
        <v>454</v>
      </c>
      <c r="C18" s="1043">
        <v>298</v>
      </c>
      <c r="D18" s="1044">
        <v>0.08008599838753024</v>
      </c>
      <c r="E18" s="1015"/>
      <c r="F18" s="1045"/>
      <c r="G18" s="1045">
        <v>4019</v>
      </c>
      <c r="H18" s="1310">
        <v>4969</v>
      </c>
      <c r="I18" s="1311">
        <v>5109</v>
      </c>
      <c r="J18" s="1310">
        <v>3758</v>
      </c>
      <c r="K18" s="1310">
        <v>3721</v>
      </c>
      <c r="L18" s="1310">
        <v>5475</v>
      </c>
      <c r="M18" s="1311">
        <v>3512</v>
      </c>
      <c r="N18" s="1310">
        <v>6279</v>
      </c>
      <c r="O18" s="1310">
        <v>3254</v>
      </c>
      <c r="P18" s="1310">
        <v>3168</v>
      </c>
      <c r="Q18" s="1311">
        <v>-3366</v>
      </c>
      <c r="R18" s="1310">
        <v>-3740</v>
      </c>
      <c r="S18" s="1310">
        <v>598</v>
      </c>
      <c r="T18" s="1310">
        <v>1780</v>
      </c>
      <c r="U18" s="1268"/>
      <c r="V18" s="1215"/>
      <c r="W18" s="1215"/>
      <c r="X18" s="1215"/>
      <c r="Y18" s="1268"/>
      <c r="Z18" s="1215"/>
      <c r="AA18" s="1215"/>
      <c r="AB18" s="1215"/>
      <c r="AC18" s="1268"/>
      <c r="AD18" s="1269"/>
      <c r="AE18" s="1269"/>
      <c r="AF18" s="1269"/>
      <c r="AG18" s="1269"/>
      <c r="AH18" s="1270"/>
      <c r="AI18" s="1268"/>
      <c r="AJ18" s="1268"/>
      <c r="AK18" s="1268"/>
      <c r="AL18" s="1271"/>
      <c r="AM18" s="1310">
        <v>14097</v>
      </c>
      <c r="AN18" s="1303">
        <v>12708</v>
      </c>
      <c r="AO18" s="1047">
        <v>1389</v>
      </c>
      <c r="AP18" s="1044">
        <v>0.10930122757318225</v>
      </c>
      <c r="AQ18" s="1010"/>
      <c r="AR18" s="1048">
        <v>16465</v>
      </c>
      <c r="AS18" s="1048">
        <v>9335</v>
      </c>
      <c r="AT18" s="1047">
        <v>-1125</v>
      </c>
      <c r="AU18" s="1049">
        <v>6489</v>
      </c>
      <c r="AV18" s="1049">
        <v>3937</v>
      </c>
      <c r="AW18" s="1049">
        <v>-253</v>
      </c>
      <c r="AX18" s="1042"/>
      <c r="AY18" s="1039"/>
      <c r="AZ18" s="1039"/>
      <c r="BA18" s="1039"/>
      <c r="BB18" s="957"/>
      <c r="BD18" s="957"/>
      <c r="BE18" s="957"/>
      <c r="BF18" s="957"/>
      <c r="BG18" s="957"/>
    </row>
    <row r="19" spans="1:59" ht="12.75" customHeight="1">
      <c r="A19" s="1002"/>
      <c r="B19" s="166" t="s">
        <v>261</v>
      </c>
      <c r="C19" s="1013">
        <v>-15957</v>
      </c>
      <c r="D19" s="1014">
        <v>-0.44219364850634596</v>
      </c>
      <c r="E19" s="1015"/>
      <c r="F19" s="1019"/>
      <c r="G19" s="1019">
        <v>20129</v>
      </c>
      <c r="H19" s="1215">
        <v>15916</v>
      </c>
      <c r="I19" s="1268">
        <v>14117</v>
      </c>
      <c r="J19" s="1215">
        <v>28445</v>
      </c>
      <c r="K19" s="1215">
        <v>36086</v>
      </c>
      <c r="L19" s="1215">
        <v>19473</v>
      </c>
      <c r="M19" s="1268">
        <v>17078</v>
      </c>
      <c r="N19" s="1215">
        <v>36479</v>
      </c>
      <c r="O19" s="1215">
        <v>26706</v>
      </c>
      <c r="P19" s="1215">
        <v>20166</v>
      </c>
      <c r="Q19" s="1268">
        <v>25829</v>
      </c>
      <c r="R19" s="1215">
        <v>39303</v>
      </c>
      <c r="S19" s="1215">
        <v>48182</v>
      </c>
      <c r="T19" s="1215">
        <v>22512</v>
      </c>
      <c r="U19" s="1268">
        <v>22508</v>
      </c>
      <c r="V19" s="1215">
        <v>16925</v>
      </c>
      <c r="W19" s="1215">
        <v>30817</v>
      </c>
      <c r="X19" s="1215">
        <v>14959</v>
      </c>
      <c r="Y19" s="1268">
        <v>17215</v>
      </c>
      <c r="Z19" s="1215">
        <v>12371</v>
      </c>
      <c r="AA19" s="1215">
        <v>10291</v>
      </c>
      <c r="AB19" s="1215">
        <v>13228</v>
      </c>
      <c r="AC19" s="1268">
        <v>19085</v>
      </c>
      <c r="AD19" s="1269">
        <v>16510</v>
      </c>
      <c r="AE19" s="1269">
        <v>57933</v>
      </c>
      <c r="AF19" s="1269">
        <v>42205</v>
      </c>
      <c r="AG19" s="1269">
        <v>76203</v>
      </c>
      <c r="AH19" s="1270">
        <v>70783</v>
      </c>
      <c r="AI19" s="1268">
        <v>51546</v>
      </c>
      <c r="AJ19" s="1268">
        <v>45305</v>
      </c>
      <c r="AK19" s="1268">
        <v>65948</v>
      </c>
      <c r="AL19" s="1271"/>
      <c r="AM19" s="1215">
        <v>50162</v>
      </c>
      <c r="AN19" s="1269">
        <v>72637</v>
      </c>
      <c r="AO19" s="1024">
        <v>-22475</v>
      </c>
      <c r="AP19" s="1014">
        <v>-0.3094153117557168</v>
      </c>
      <c r="AQ19" s="1010"/>
      <c r="AR19" s="1025">
        <v>101080</v>
      </c>
      <c r="AS19" s="1025">
        <v>109180</v>
      </c>
      <c r="AT19" s="1025">
        <v>145955</v>
      </c>
      <c r="AU19" s="1025">
        <v>93133</v>
      </c>
      <c r="AV19" s="1025">
        <v>67023</v>
      </c>
      <c r="AW19" s="1025">
        <v>87981</v>
      </c>
      <c r="AX19" s="1025">
        <v>98642</v>
      </c>
      <c r="AY19" s="1039">
        <v>82259</v>
      </c>
      <c r="AZ19" s="1039">
        <v>47759</v>
      </c>
      <c r="BA19" s="1039">
        <v>120298</v>
      </c>
      <c r="BB19" s="957"/>
      <c r="BD19" s="957"/>
      <c r="BE19" s="957"/>
      <c r="BF19" s="957"/>
      <c r="BG19" s="957"/>
    </row>
    <row r="20" spans="1:59" ht="12.75" customHeight="1">
      <c r="A20" s="1002"/>
      <c r="B20" s="1004" t="s">
        <v>74</v>
      </c>
      <c r="C20" s="1013">
        <v>-94</v>
      </c>
      <c r="D20" s="1014">
        <v>-0.06300268096514745</v>
      </c>
      <c r="E20" s="1015"/>
      <c r="F20" s="1019"/>
      <c r="G20" s="1019">
        <v>1398</v>
      </c>
      <c r="H20" s="1215">
        <v>1040</v>
      </c>
      <c r="I20" s="1268">
        <v>1320</v>
      </c>
      <c r="J20" s="1215">
        <v>1372</v>
      </c>
      <c r="K20" s="1215">
        <v>1492</v>
      </c>
      <c r="L20" s="1215">
        <v>2221</v>
      </c>
      <c r="M20" s="1268">
        <v>1737</v>
      </c>
      <c r="N20" s="1215">
        <v>1421</v>
      </c>
      <c r="O20" s="1215">
        <v>1310</v>
      </c>
      <c r="P20" s="1215">
        <v>867</v>
      </c>
      <c r="Q20" s="1268">
        <v>1866</v>
      </c>
      <c r="R20" s="1215">
        <v>733</v>
      </c>
      <c r="S20" s="1215">
        <v>930</v>
      </c>
      <c r="T20" s="1215">
        <v>1056</v>
      </c>
      <c r="U20" s="1268">
        <v>1141</v>
      </c>
      <c r="V20" s="1215">
        <v>736</v>
      </c>
      <c r="W20" s="1215">
        <v>1106</v>
      </c>
      <c r="X20" s="1215">
        <v>445</v>
      </c>
      <c r="Y20" s="1268">
        <v>469</v>
      </c>
      <c r="Z20" s="1215">
        <v>514</v>
      </c>
      <c r="AA20" s="1215">
        <v>535</v>
      </c>
      <c r="AB20" s="1215">
        <v>708</v>
      </c>
      <c r="AC20" s="1268">
        <v>937</v>
      </c>
      <c r="AD20" s="1269">
        <v>571</v>
      </c>
      <c r="AE20" s="1269">
        <v>3275</v>
      </c>
      <c r="AF20" s="1269">
        <v>3194</v>
      </c>
      <c r="AG20" s="1269">
        <v>4019</v>
      </c>
      <c r="AH20" s="1270">
        <v>2619</v>
      </c>
      <c r="AI20" s="1268">
        <v>3158</v>
      </c>
      <c r="AJ20" s="1268">
        <v>2228</v>
      </c>
      <c r="AK20" s="1268">
        <v>3188</v>
      </c>
      <c r="AL20" s="1271"/>
      <c r="AM20" s="1215">
        <v>3758</v>
      </c>
      <c r="AN20" s="1215">
        <v>5450</v>
      </c>
      <c r="AO20" s="1272">
        <v>-1692</v>
      </c>
      <c r="AP20" s="1014">
        <v>-0.31045871559633026</v>
      </c>
      <c r="AQ20" s="1273"/>
      <c r="AR20" s="1274">
        <v>6822</v>
      </c>
      <c r="AS20" s="1274">
        <v>5464</v>
      </c>
      <c r="AT20" s="1274">
        <v>5760</v>
      </c>
      <c r="AU20" s="1274">
        <v>4482</v>
      </c>
      <c r="AV20" s="1274">
        <v>4289</v>
      </c>
      <c r="AW20" s="1025">
        <v>3159</v>
      </c>
      <c r="AX20" s="1025">
        <v>1847</v>
      </c>
      <c r="AY20" s="1039">
        <v>2414</v>
      </c>
      <c r="AZ20" s="1039">
        <v>6699</v>
      </c>
      <c r="BA20" s="1039">
        <v>12517</v>
      </c>
      <c r="BB20" s="957"/>
      <c r="BD20" s="957"/>
      <c r="BE20" s="957"/>
      <c r="BF20" s="957"/>
      <c r="BG20" s="957"/>
    </row>
    <row r="21" spans="1:59" ht="12.75" customHeight="1" hidden="1">
      <c r="A21" s="1002"/>
      <c r="B21" s="966"/>
      <c r="C21" s="1013"/>
      <c r="D21" s="1014"/>
      <c r="E21" s="1015"/>
      <c r="F21" s="1050"/>
      <c r="G21" s="1050"/>
      <c r="H21" s="1269"/>
      <c r="I21" s="1268"/>
      <c r="J21" s="1269"/>
      <c r="K21" s="1269"/>
      <c r="L21" s="1269"/>
      <c r="M21" s="1268"/>
      <c r="N21" s="1269"/>
      <c r="O21" s="1269"/>
      <c r="P21" s="1269"/>
      <c r="Q21" s="1268"/>
      <c r="R21" s="1269"/>
      <c r="S21" s="1269"/>
      <c r="T21" s="1269"/>
      <c r="U21" s="1268"/>
      <c r="V21" s="1269"/>
      <c r="W21" s="1269"/>
      <c r="X21" s="1269"/>
      <c r="Y21" s="1268"/>
      <c r="Z21" s="1269"/>
      <c r="AA21" s="1269"/>
      <c r="AB21" s="1269"/>
      <c r="AC21" s="1268"/>
      <c r="AD21" s="1240"/>
      <c r="AE21" s="1240"/>
      <c r="AF21" s="1240"/>
      <c r="AG21" s="1275"/>
      <c r="AH21" s="1274"/>
      <c r="AI21" s="1275"/>
      <c r="AJ21" s="1275"/>
      <c r="AK21" s="1275"/>
      <c r="AL21" s="1276"/>
      <c r="AM21" s="1215"/>
      <c r="AN21" s="1269"/>
      <c r="AO21" s="1240"/>
      <c r="AP21" s="1014" t="e">
        <v>#DIV/0!</v>
      </c>
      <c r="AQ21" s="1277"/>
      <c r="AR21" s="1278"/>
      <c r="AS21" s="1278"/>
      <c r="AT21" s="1278"/>
      <c r="AU21" s="1278"/>
      <c r="AV21" s="1278"/>
      <c r="AW21" s="1039"/>
      <c r="AX21" s="1039"/>
      <c r="AY21" s="1039"/>
      <c r="AZ21" s="1039"/>
      <c r="BA21" s="1039"/>
      <c r="BB21" s="957"/>
      <c r="BD21" s="957"/>
      <c r="BE21" s="957"/>
      <c r="BF21" s="957"/>
      <c r="BG21" s="957"/>
    </row>
    <row r="22" spans="1:59" ht="12.75" customHeight="1">
      <c r="A22" s="1002"/>
      <c r="B22" s="1004" t="s">
        <v>104</v>
      </c>
      <c r="C22" s="1013">
        <v>759</v>
      </c>
      <c r="D22" s="1055">
        <v>0.2773109243697479</v>
      </c>
      <c r="E22" s="1015"/>
      <c r="F22" s="1019"/>
      <c r="G22" s="1019">
        <v>3496</v>
      </c>
      <c r="H22" s="1215">
        <v>2839</v>
      </c>
      <c r="I22" s="1268">
        <v>3201</v>
      </c>
      <c r="J22" s="1215">
        <v>2802</v>
      </c>
      <c r="K22" s="1215">
        <v>2737</v>
      </c>
      <c r="L22" s="1215">
        <v>2309</v>
      </c>
      <c r="M22" s="1268">
        <v>2984</v>
      </c>
      <c r="N22" s="1215">
        <v>2748</v>
      </c>
      <c r="O22" s="1215">
        <v>3263</v>
      </c>
      <c r="P22" s="1215">
        <v>3155</v>
      </c>
      <c r="Q22" s="1268">
        <v>4193</v>
      </c>
      <c r="R22" s="1215">
        <v>2526</v>
      </c>
      <c r="S22" s="1215">
        <v>2575</v>
      </c>
      <c r="T22" s="1215">
        <v>2211</v>
      </c>
      <c r="U22" s="1268">
        <v>1863</v>
      </c>
      <c r="V22" s="1215">
        <v>1434</v>
      </c>
      <c r="W22" s="1215">
        <v>1589</v>
      </c>
      <c r="X22" s="1215">
        <v>1151</v>
      </c>
      <c r="Y22" s="1268">
        <v>943</v>
      </c>
      <c r="Z22" s="1215">
        <v>993</v>
      </c>
      <c r="AA22" s="1215">
        <v>971</v>
      </c>
      <c r="AB22" s="1215">
        <v>891</v>
      </c>
      <c r="AC22" s="1268">
        <v>781</v>
      </c>
      <c r="AD22" s="1269">
        <v>689</v>
      </c>
      <c r="AE22" s="1269">
        <v>4655</v>
      </c>
      <c r="AF22" s="1269">
        <v>4906</v>
      </c>
      <c r="AG22" s="1269">
        <v>4441</v>
      </c>
      <c r="AH22" s="1270">
        <v>4178</v>
      </c>
      <c r="AI22" s="1268">
        <v>3700</v>
      </c>
      <c r="AJ22" s="1268">
        <v>3796</v>
      </c>
      <c r="AK22" s="1268">
        <v>5308</v>
      </c>
      <c r="AL22" s="1271"/>
      <c r="AM22" s="1215">
        <v>9536</v>
      </c>
      <c r="AN22" s="1215">
        <v>8030</v>
      </c>
      <c r="AO22" s="1272">
        <v>1506</v>
      </c>
      <c r="AP22" s="1014">
        <v>0.187546699875467</v>
      </c>
      <c r="AQ22" s="1273"/>
      <c r="AR22" s="1274">
        <v>10832</v>
      </c>
      <c r="AS22" s="1274">
        <v>13359</v>
      </c>
      <c r="AT22" s="1274">
        <v>13928</v>
      </c>
      <c r="AU22" s="1274">
        <v>9367</v>
      </c>
      <c r="AV22" s="1274">
        <v>7303</v>
      </c>
      <c r="AW22" s="1025">
        <v>3032</v>
      </c>
      <c r="AX22" s="1025">
        <v>2191</v>
      </c>
      <c r="AY22" s="1039">
        <v>2896</v>
      </c>
      <c r="AZ22" s="1039">
        <v>1887</v>
      </c>
      <c r="BA22" s="1039">
        <v>3440</v>
      </c>
      <c r="BB22" s="957"/>
      <c r="BD22" s="957"/>
      <c r="BE22" s="957"/>
      <c r="BF22" s="957"/>
      <c r="BG22" s="957"/>
    </row>
    <row r="23" spans="1:59" ht="12.75" customHeight="1">
      <c r="A23" s="1002"/>
      <c r="B23" s="1004" t="s">
        <v>76</v>
      </c>
      <c r="C23" s="1013">
        <v>2</v>
      </c>
      <c r="D23" s="1055">
        <v>0.0017905102954341987</v>
      </c>
      <c r="E23" s="1015"/>
      <c r="F23" s="1019"/>
      <c r="G23" s="1019">
        <v>1119</v>
      </c>
      <c r="H23" s="1215">
        <v>1108</v>
      </c>
      <c r="I23" s="1268">
        <v>1078</v>
      </c>
      <c r="J23" s="1215">
        <v>1221</v>
      </c>
      <c r="K23" s="1215">
        <v>1117</v>
      </c>
      <c r="L23" s="1215">
        <v>1196</v>
      </c>
      <c r="M23" s="1268">
        <v>1263</v>
      </c>
      <c r="N23" s="1215">
        <v>1300</v>
      </c>
      <c r="O23" s="1215">
        <v>1228</v>
      </c>
      <c r="P23" s="1215">
        <v>1661</v>
      </c>
      <c r="Q23" s="1268">
        <v>852</v>
      </c>
      <c r="R23" s="1215">
        <v>1191</v>
      </c>
      <c r="S23" s="1215">
        <v>1338</v>
      </c>
      <c r="T23" s="1215">
        <v>855</v>
      </c>
      <c r="U23" s="1268">
        <v>549</v>
      </c>
      <c r="V23" s="1215">
        <v>661</v>
      </c>
      <c r="W23" s="1215">
        <v>671</v>
      </c>
      <c r="X23" s="1215">
        <v>645</v>
      </c>
      <c r="Y23" s="1268">
        <v>595</v>
      </c>
      <c r="Z23" s="1215">
        <v>667</v>
      </c>
      <c r="AA23" s="1215">
        <v>676</v>
      </c>
      <c r="AB23" s="1215">
        <v>693</v>
      </c>
      <c r="AC23" s="1268">
        <v>690</v>
      </c>
      <c r="AD23" s="1269">
        <v>706</v>
      </c>
      <c r="AE23" s="1269">
        <v>3011</v>
      </c>
      <c r="AF23" s="1269">
        <v>2910</v>
      </c>
      <c r="AG23" s="1269">
        <v>2613</v>
      </c>
      <c r="AH23" s="1270">
        <v>5054</v>
      </c>
      <c r="AI23" s="1268">
        <v>3183</v>
      </c>
      <c r="AJ23" s="1268">
        <v>2884</v>
      </c>
      <c r="AK23" s="1268">
        <v>3008</v>
      </c>
      <c r="AL23" s="1271"/>
      <c r="AM23" s="1215">
        <v>3305</v>
      </c>
      <c r="AN23" s="1215">
        <v>3576</v>
      </c>
      <c r="AO23" s="1272">
        <v>-271</v>
      </c>
      <c r="AP23" s="1014">
        <v>-0.07578299776286354</v>
      </c>
      <c r="AQ23" s="1273"/>
      <c r="AR23" s="1274">
        <v>4797</v>
      </c>
      <c r="AS23" s="1274">
        <v>5041</v>
      </c>
      <c r="AT23" s="1274">
        <v>4319</v>
      </c>
      <c r="AU23" s="1274">
        <v>3014</v>
      </c>
      <c r="AV23" s="1274">
        <v>3158</v>
      </c>
      <c r="AW23" s="1025">
        <v>2856</v>
      </c>
      <c r="AX23" s="1025">
        <v>3000</v>
      </c>
      <c r="AY23" s="1039">
        <v>2293</v>
      </c>
      <c r="AZ23" s="1039">
        <v>1365</v>
      </c>
      <c r="BA23" s="1039">
        <v>4236</v>
      </c>
      <c r="BB23" s="957"/>
      <c r="BD23" s="957"/>
      <c r="BE23" s="957"/>
      <c r="BF23" s="957"/>
      <c r="BG23" s="957"/>
    </row>
    <row r="24" spans="1:59" ht="12.75" customHeight="1">
      <c r="A24" s="1002"/>
      <c r="B24" s="1004" t="s">
        <v>77</v>
      </c>
      <c r="C24" s="1013">
        <v>126</v>
      </c>
      <c r="D24" s="1055">
        <v>0.07959570435881239</v>
      </c>
      <c r="E24" s="1015"/>
      <c r="F24" s="1019"/>
      <c r="G24" s="1019">
        <v>1709</v>
      </c>
      <c r="H24" s="1215">
        <v>1632</v>
      </c>
      <c r="I24" s="1268">
        <v>1422</v>
      </c>
      <c r="J24" s="1215">
        <v>1553</v>
      </c>
      <c r="K24" s="1215">
        <v>1583</v>
      </c>
      <c r="L24" s="1215">
        <v>1305</v>
      </c>
      <c r="M24" s="1268">
        <v>1477</v>
      </c>
      <c r="N24" s="1215">
        <v>2254</v>
      </c>
      <c r="O24" s="1215">
        <v>1309</v>
      </c>
      <c r="P24" s="1215">
        <v>1341</v>
      </c>
      <c r="Q24" s="1268">
        <v>1329</v>
      </c>
      <c r="R24" s="1215">
        <v>977</v>
      </c>
      <c r="S24" s="1215">
        <v>993</v>
      </c>
      <c r="T24" s="1215">
        <v>1107</v>
      </c>
      <c r="U24" s="1268">
        <v>1004</v>
      </c>
      <c r="V24" s="1215">
        <v>587</v>
      </c>
      <c r="W24" s="1215">
        <v>610</v>
      </c>
      <c r="X24" s="1215">
        <v>573</v>
      </c>
      <c r="Y24" s="1268">
        <v>706</v>
      </c>
      <c r="Z24" s="1215">
        <v>894</v>
      </c>
      <c r="AA24" s="1215">
        <v>1012</v>
      </c>
      <c r="AB24" s="1215">
        <v>1350</v>
      </c>
      <c r="AC24" s="1268">
        <v>1224</v>
      </c>
      <c r="AD24" s="1269">
        <v>1201</v>
      </c>
      <c r="AE24" s="1269">
        <v>3063</v>
      </c>
      <c r="AF24" s="1269">
        <v>2962</v>
      </c>
      <c r="AG24" s="1269">
        <v>2879</v>
      </c>
      <c r="AH24" s="1270">
        <v>2804</v>
      </c>
      <c r="AI24" s="1268">
        <v>2586</v>
      </c>
      <c r="AJ24" s="1268">
        <v>2530</v>
      </c>
      <c r="AK24" s="1268">
        <v>2427</v>
      </c>
      <c r="AL24" s="1271"/>
      <c r="AM24" s="1215">
        <v>4763</v>
      </c>
      <c r="AN24" s="1215">
        <v>4365</v>
      </c>
      <c r="AO24" s="1272">
        <v>398</v>
      </c>
      <c r="AP24" s="1014">
        <v>0.09117983963344788</v>
      </c>
      <c r="AQ24" s="1273"/>
      <c r="AR24" s="1274">
        <v>5918</v>
      </c>
      <c r="AS24" s="1274">
        <v>6233</v>
      </c>
      <c r="AT24" s="1274">
        <v>5344</v>
      </c>
      <c r="AU24" s="1274">
        <v>3731</v>
      </c>
      <c r="AV24" s="1274">
        <v>6466</v>
      </c>
      <c r="AW24" s="1025">
        <v>4740</v>
      </c>
      <c r="AX24" s="1025">
        <v>3930</v>
      </c>
      <c r="AY24" s="1039">
        <v>2980</v>
      </c>
      <c r="AZ24" s="1039">
        <v>2274</v>
      </c>
      <c r="BA24" s="1039">
        <v>4205</v>
      </c>
      <c r="BB24" s="957"/>
      <c r="BD24" s="957"/>
      <c r="BE24" s="957"/>
      <c r="BF24" s="957"/>
      <c r="BG24" s="957"/>
    </row>
    <row r="25" spans="1:59" ht="12.75" customHeight="1">
      <c r="A25" s="1002"/>
      <c r="B25" s="1004" t="s">
        <v>72</v>
      </c>
      <c r="C25" s="1013">
        <v>-604</v>
      </c>
      <c r="D25" s="1014">
        <v>-0.26468010517090274</v>
      </c>
      <c r="E25" s="1015"/>
      <c r="F25" s="1019"/>
      <c r="G25" s="1019">
        <v>1678</v>
      </c>
      <c r="H25" s="1215">
        <v>2042</v>
      </c>
      <c r="I25" s="1268">
        <v>1957</v>
      </c>
      <c r="J25" s="1215">
        <v>1676</v>
      </c>
      <c r="K25" s="1215">
        <v>2282</v>
      </c>
      <c r="L25" s="1215">
        <v>1441</v>
      </c>
      <c r="M25" s="1268">
        <v>2552</v>
      </c>
      <c r="N25" s="1215">
        <v>2405</v>
      </c>
      <c r="O25" s="1215">
        <v>1861</v>
      </c>
      <c r="P25" s="1215">
        <v>1440</v>
      </c>
      <c r="Q25" s="1268">
        <v>1878</v>
      </c>
      <c r="R25" s="1215">
        <v>8</v>
      </c>
      <c r="S25" s="1215">
        <v>3</v>
      </c>
      <c r="T25" s="1215">
        <v>3</v>
      </c>
      <c r="U25" s="1268">
        <v>33</v>
      </c>
      <c r="V25" s="1215">
        <v>3</v>
      </c>
      <c r="W25" s="1215">
        <v>2</v>
      </c>
      <c r="X25" s="1215">
        <v>2</v>
      </c>
      <c r="Y25" s="1268">
        <v>5</v>
      </c>
      <c r="Z25" s="1215">
        <v>21</v>
      </c>
      <c r="AA25" s="1215">
        <v>72</v>
      </c>
      <c r="AB25" s="1215">
        <v>94</v>
      </c>
      <c r="AC25" s="1268">
        <v>126</v>
      </c>
      <c r="AD25" s="1269">
        <v>153</v>
      </c>
      <c r="AE25" s="1269">
        <v>738</v>
      </c>
      <c r="AF25" s="1269">
        <v>353</v>
      </c>
      <c r="AG25" s="1269">
        <v>594</v>
      </c>
      <c r="AH25" s="1270">
        <v>617</v>
      </c>
      <c r="AI25" s="1268">
        <v>520</v>
      </c>
      <c r="AJ25" s="1268">
        <v>889</v>
      </c>
      <c r="AK25" s="1268">
        <v>691</v>
      </c>
      <c r="AL25" s="1271"/>
      <c r="AM25" s="1215">
        <v>5677</v>
      </c>
      <c r="AN25" s="1215">
        <v>6275</v>
      </c>
      <c r="AO25" s="1272">
        <v>-598</v>
      </c>
      <c r="AP25" s="1014">
        <v>-0.09529880478087649</v>
      </c>
      <c r="AQ25" s="1273"/>
      <c r="AR25" s="1274">
        <v>7951</v>
      </c>
      <c r="AS25" s="1274">
        <v>7584</v>
      </c>
      <c r="AT25" s="1274">
        <v>5684</v>
      </c>
      <c r="AU25" s="1274">
        <v>435</v>
      </c>
      <c r="AV25" s="1274">
        <v>949</v>
      </c>
      <c r="AW25" s="1025">
        <v>602</v>
      </c>
      <c r="AX25" s="1025">
        <v>551</v>
      </c>
      <c r="AY25" s="1039">
        <v>175</v>
      </c>
      <c r="AZ25" s="1039">
        <v>114</v>
      </c>
      <c r="BA25" s="1039">
        <v>35</v>
      </c>
      <c r="BB25" s="957"/>
      <c r="BD25" s="957"/>
      <c r="BE25" s="957"/>
      <c r="BF25" s="957"/>
      <c r="BG25" s="957"/>
    </row>
    <row r="26" spans="1:59" ht="12.75" customHeight="1">
      <c r="A26" s="1002"/>
      <c r="B26" s="1004" t="s">
        <v>78</v>
      </c>
      <c r="C26" s="1013">
        <v>-532</v>
      </c>
      <c r="D26" s="1055">
        <v>-0.17745163442294865</v>
      </c>
      <c r="E26" s="1015"/>
      <c r="F26" s="1019"/>
      <c r="G26" s="1019">
        <v>2466</v>
      </c>
      <c r="H26" s="1215">
        <v>2827</v>
      </c>
      <c r="I26" s="1268">
        <v>1612</v>
      </c>
      <c r="J26" s="1215">
        <v>1696</v>
      </c>
      <c r="K26" s="1215">
        <v>2998</v>
      </c>
      <c r="L26" s="1215">
        <v>4496</v>
      </c>
      <c r="M26" s="1268">
        <v>3008</v>
      </c>
      <c r="N26" s="1215">
        <v>3819</v>
      </c>
      <c r="O26" s="1215">
        <v>2995</v>
      </c>
      <c r="P26" s="1215">
        <v>5330</v>
      </c>
      <c r="Q26" s="1268">
        <v>3753</v>
      </c>
      <c r="R26" s="1215">
        <v>3862</v>
      </c>
      <c r="S26" s="1215">
        <v>4390</v>
      </c>
      <c r="T26" s="1215">
        <v>3806</v>
      </c>
      <c r="U26" s="1268">
        <v>3275</v>
      </c>
      <c r="V26" s="1215">
        <v>1553</v>
      </c>
      <c r="W26" s="1215">
        <v>1777</v>
      </c>
      <c r="X26" s="1215">
        <v>1251</v>
      </c>
      <c r="Y26" s="1268">
        <v>1408</v>
      </c>
      <c r="Z26" s="1215">
        <v>-532</v>
      </c>
      <c r="AA26" s="1215">
        <v>1655</v>
      </c>
      <c r="AB26" s="1215">
        <v>2880</v>
      </c>
      <c r="AC26" s="1268">
        <v>4020</v>
      </c>
      <c r="AD26" s="1269">
        <v>3405</v>
      </c>
      <c r="AE26" s="1269">
        <v>8753</v>
      </c>
      <c r="AF26" s="1269">
        <v>9885</v>
      </c>
      <c r="AG26" s="1269">
        <v>10397</v>
      </c>
      <c r="AH26" s="1270">
        <v>10292</v>
      </c>
      <c r="AI26" s="1268">
        <v>7376</v>
      </c>
      <c r="AJ26" s="1268">
        <v>8470</v>
      </c>
      <c r="AK26" s="1268">
        <v>8715</v>
      </c>
      <c r="AL26" s="1271"/>
      <c r="AM26" s="1215">
        <v>6905</v>
      </c>
      <c r="AN26" s="1215">
        <v>10502</v>
      </c>
      <c r="AO26" s="1272">
        <v>-3597</v>
      </c>
      <c r="AP26" s="1014">
        <v>-0.3425061892972767</v>
      </c>
      <c r="AQ26" s="1273"/>
      <c r="AR26" s="1274">
        <v>12198</v>
      </c>
      <c r="AS26" s="1274">
        <v>15897</v>
      </c>
      <c r="AT26" s="1274">
        <v>15959</v>
      </c>
      <c r="AU26" s="1274">
        <v>6369</v>
      </c>
      <c r="AV26" s="1274">
        <v>9497</v>
      </c>
      <c r="AW26" s="1025">
        <v>14790</v>
      </c>
      <c r="AX26" s="1025">
        <v>12437</v>
      </c>
      <c r="AY26" s="1039">
        <v>11037</v>
      </c>
      <c r="AZ26" s="1039">
        <v>6277</v>
      </c>
      <c r="BA26" s="1039">
        <v>7632</v>
      </c>
      <c r="BB26" s="957"/>
      <c r="BD26" s="957"/>
      <c r="BE26" s="957"/>
      <c r="BF26" s="957"/>
      <c r="BG26" s="957"/>
    </row>
    <row r="27" spans="1:59" ht="12.75" customHeight="1">
      <c r="A27" s="1002"/>
      <c r="B27" s="1004" t="s">
        <v>79</v>
      </c>
      <c r="C27" s="1013">
        <v>-58</v>
      </c>
      <c r="D27" s="1055">
        <v>-0.041339985744832504</v>
      </c>
      <c r="E27" s="1015"/>
      <c r="F27" s="1019"/>
      <c r="G27" s="254">
        <v>1345</v>
      </c>
      <c r="H27" s="1215">
        <v>1328</v>
      </c>
      <c r="I27" s="1268">
        <v>1322</v>
      </c>
      <c r="J27" s="1215">
        <v>1485</v>
      </c>
      <c r="K27" s="1215">
        <v>1403</v>
      </c>
      <c r="L27" s="1215">
        <v>1401</v>
      </c>
      <c r="M27" s="1268">
        <v>1400</v>
      </c>
      <c r="N27" s="1215">
        <v>1522</v>
      </c>
      <c r="O27" s="1215">
        <v>1400</v>
      </c>
      <c r="P27" s="1215">
        <v>1417</v>
      </c>
      <c r="Q27" s="1268">
        <v>1219</v>
      </c>
      <c r="R27" s="1215">
        <v>1199</v>
      </c>
      <c r="S27" s="1215">
        <v>1232</v>
      </c>
      <c r="T27" s="1215">
        <v>2158</v>
      </c>
      <c r="U27" s="1268">
        <v>1735</v>
      </c>
      <c r="V27" s="1215">
        <v>186</v>
      </c>
      <c r="W27" s="1215">
        <v>183</v>
      </c>
      <c r="X27" s="1215">
        <v>182</v>
      </c>
      <c r="Y27" s="1268">
        <v>189</v>
      </c>
      <c r="Z27" s="1215">
        <v>228</v>
      </c>
      <c r="AA27" s="1215">
        <v>732</v>
      </c>
      <c r="AB27" s="1215">
        <v>193</v>
      </c>
      <c r="AC27" s="1268">
        <v>191</v>
      </c>
      <c r="AD27" s="1269">
        <v>220</v>
      </c>
      <c r="AE27" s="1269">
        <v>984</v>
      </c>
      <c r="AF27" s="1269">
        <v>985</v>
      </c>
      <c r="AG27" s="1269">
        <v>911</v>
      </c>
      <c r="AH27" s="1270">
        <v>895</v>
      </c>
      <c r="AI27" s="1268">
        <v>785</v>
      </c>
      <c r="AJ27" s="1268">
        <v>1291</v>
      </c>
      <c r="AK27" s="1268">
        <v>950</v>
      </c>
      <c r="AL27" s="1271"/>
      <c r="AM27" s="1215">
        <v>3995</v>
      </c>
      <c r="AN27" s="1215">
        <v>4204</v>
      </c>
      <c r="AO27" s="1272">
        <v>-209</v>
      </c>
      <c r="AP27" s="1014">
        <v>-0.04971455756422455</v>
      </c>
      <c r="AQ27" s="1273"/>
      <c r="AR27" s="1274">
        <v>5689</v>
      </c>
      <c r="AS27" s="1274">
        <v>5558</v>
      </c>
      <c r="AT27" s="1274">
        <v>6461</v>
      </c>
      <c r="AU27" s="1274">
        <v>907</v>
      </c>
      <c r="AV27" s="1274">
        <v>1492</v>
      </c>
      <c r="AW27" s="1025">
        <v>804</v>
      </c>
      <c r="AX27" s="1025">
        <v>1063</v>
      </c>
      <c r="AY27" s="1039">
        <v>893</v>
      </c>
      <c r="AZ27" s="1039">
        <v>470</v>
      </c>
      <c r="BA27" s="1039">
        <v>1291</v>
      </c>
      <c r="BB27" s="957"/>
      <c r="BD27" s="957"/>
      <c r="BE27" s="957"/>
      <c r="BF27" s="957"/>
      <c r="BG27" s="957"/>
    </row>
    <row r="28" spans="1:59" ht="12.75" customHeight="1">
      <c r="A28" s="966"/>
      <c r="B28" s="1004" t="s">
        <v>80</v>
      </c>
      <c r="C28" s="1013">
        <v>-81</v>
      </c>
      <c r="D28" s="1014">
        <v>-0.3932038834951456</v>
      </c>
      <c r="E28" s="1015"/>
      <c r="F28" s="1019"/>
      <c r="G28" s="254">
        <v>125</v>
      </c>
      <c r="H28" s="1215">
        <v>195</v>
      </c>
      <c r="I28" s="1268">
        <v>142</v>
      </c>
      <c r="J28" s="1215">
        <v>177</v>
      </c>
      <c r="K28" s="1215">
        <v>206</v>
      </c>
      <c r="L28" s="1215">
        <v>1037</v>
      </c>
      <c r="M28" s="1268">
        <v>121</v>
      </c>
      <c r="N28" s="1215">
        <v>34</v>
      </c>
      <c r="O28" s="1215">
        <v>-103</v>
      </c>
      <c r="P28" s="1215">
        <v>275</v>
      </c>
      <c r="Q28" s="1268">
        <v>690</v>
      </c>
      <c r="R28" s="1215">
        <v>472</v>
      </c>
      <c r="S28" s="1215">
        <v>550</v>
      </c>
      <c r="T28" s="1215">
        <v>709</v>
      </c>
      <c r="U28" s="1268">
        <v>1042</v>
      </c>
      <c r="V28" s="1215">
        <v>608</v>
      </c>
      <c r="W28" s="1215">
        <v>1167</v>
      </c>
      <c r="X28" s="1215">
        <v>272</v>
      </c>
      <c r="Y28" s="1268">
        <v>657</v>
      </c>
      <c r="Z28" s="1215">
        <v>605</v>
      </c>
      <c r="AA28" s="1215">
        <v>643</v>
      </c>
      <c r="AB28" s="1215">
        <v>602</v>
      </c>
      <c r="AC28" s="1268">
        <v>517</v>
      </c>
      <c r="AD28" s="1269">
        <v>692</v>
      </c>
      <c r="AE28" s="1269">
        <v>3936</v>
      </c>
      <c r="AF28" s="1269">
        <v>5582</v>
      </c>
      <c r="AG28" s="1269">
        <v>4292</v>
      </c>
      <c r="AH28" s="1270">
        <v>3663</v>
      </c>
      <c r="AI28" s="1268">
        <v>2463</v>
      </c>
      <c r="AJ28" s="1268">
        <v>3310</v>
      </c>
      <c r="AK28" s="1268">
        <v>1287</v>
      </c>
      <c r="AL28" s="1271"/>
      <c r="AM28" s="1215">
        <v>462</v>
      </c>
      <c r="AN28" s="1215">
        <v>1364</v>
      </c>
      <c r="AO28" s="1272">
        <v>-902</v>
      </c>
      <c r="AP28" s="1014">
        <v>-0.6612903225806451</v>
      </c>
      <c r="AQ28" s="1273"/>
      <c r="AR28" s="1274">
        <v>1541</v>
      </c>
      <c r="AS28" s="1274">
        <v>896</v>
      </c>
      <c r="AT28" s="1274">
        <v>3004</v>
      </c>
      <c r="AU28" s="1274">
        <v>3213</v>
      </c>
      <c r="AV28" s="1274">
        <v>2422</v>
      </c>
      <c r="AW28" s="1025">
        <v>2174</v>
      </c>
      <c r="AX28" s="1025">
        <v>1510</v>
      </c>
      <c r="AY28" s="1039">
        <v>538</v>
      </c>
      <c r="AZ28" s="1039">
        <v>590</v>
      </c>
      <c r="BA28" s="1039">
        <v>836</v>
      </c>
      <c r="BB28" s="957"/>
      <c r="BD28" s="957"/>
      <c r="BE28" s="957"/>
      <c r="BF28" s="957"/>
      <c r="BG28" s="957"/>
    </row>
    <row r="29" spans="1:59" ht="12.75" customHeight="1">
      <c r="A29" s="966"/>
      <c r="B29" s="966" t="s">
        <v>193</v>
      </c>
      <c r="C29" s="1013">
        <v>0</v>
      </c>
      <c r="D29" s="1014">
        <v>0</v>
      </c>
      <c r="E29" s="1015"/>
      <c r="F29" s="254"/>
      <c r="G29" s="254">
        <v>0</v>
      </c>
      <c r="H29" s="851">
        <v>4179</v>
      </c>
      <c r="I29" s="1275">
        <v>0</v>
      </c>
      <c r="J29" s="851">
        <v>0</v>
      </c>
      <c r="K29" s="851">
        <v>0</v>
      </c>
      <c r="L29" s="851">
        <v>575</v>
      </c>
      <c r="M29" s="1275">
        <v>0</v>
      </c>
      <c r="N29" s="851">
        <v>6979</v>
      </c>
      <c r="O29" s="851">
        <v>884</v>
      </c>
      <c r="P29" s="1240">
        <v>0</v>
      </c>
      <c r="Q29" s="1275">
        <v>-343</v>
      </c>
      <c r="R29" s="851">
        <v>0</v>
      </c>
      <c r="S29" s="851">
        <v>0</v>
      </c>
      <c r="T29" s="1240">
        <v>0</v>
      </c>
      <c r="U29" s="1275">
        <v>0</v>
      </c>
      <c r="V29" s="1215">
        <v>0</v>
      </c>
      <c r="W29" s="1240">
        <v>0</v>
      </c>
      <c r="X29" s="1240">
        <v>0</v>
      </c>
      <c r="Y29" s="1275">
        <v>0</v>
      </c>
      <c r="Z29" s="1240">
        <v>22</v>
      </c>
      <c r="AA29" s="1240">
        <v>5010</v>
      </c>
      <c r="AB29" s="1240">
        <v>0</v>
      </c>
      <c r="AC29" s="1268">
        <v>0</v>
      </c>
      <c r="AD29" s="1279">
        <v>0</v>
      </c>
      <c r="AE29" s="1279">
        <v>0</v>
      </c>
      <c r="AF29" s="1279">
        <v>0</v>
      </c>
      <c r="AG29" s="1279">
        <v>0</v>
      </c>
      <c r="AH29" s="1280">
        <v>0</v>
      </c>
      <c r="AI29" s="1281">
        <v>0</v>
      </c>
      <c r="AJ29" s="1281"/>
      <c r="AK29" s="1281"/>
      <c r="AL29" s="1282"/>
      <c r="AM29" s="1215">
        <v>4179</v>
      </c>
      <c r="AN29" s="1240">
        <v>575</v>
      </c>
      <c r="AO29" s="1272">
        <v>3604</v>
      </c>
      <c r="AP29" s="1014" t="s">
        <v>44</v>
      </c>
      <c r="AQ29" s="1283"/>
      <c r="AR29" s="1284">
        <v>575</v>
      </c>
      <c r="AS29" s="1284">
        <v>7863</v>
      </c>
      <c r="AT29" s="1284">
        <v>0</v>
      </c>
      <c r="AU29" s="1285">
        <v>0</v>
      </c>
      <c r="AV29" s="1285">
        <v>4697</v>
      </c>
      <c r="AW29" s="1066">
        <v>0</v>
      </c>
      <c r="AX29" s="1066">
        <v>0</v>
      </c>
      <c r="AY29" s="1067">
        <v>0</v>
      </c>
      <c r="AZ29" s="1039">
        <v>0</v>
      </c>
      <c r="BA29" s="1039">
        <v>0</v>
      </c>
      <c r="BB29" s="957"/>
      <c r="BD29" s="957"/>
      <c r="BE29" s="957"/>
      <c r="BF29" s="957"/>
      <c r="BG29" s="957"/>
    </row>
    <row r="30" spans="1:59" ht="12.75" customHeight="1">
      <c r="A30" s="966"/>
      <c r="B30" s="966" t="s">
        <v>218</v>
      </c>
      <c r="C30" s="1013">
        <v>0</v>
      </c>
      <c r="D30" s="1014">
        <v>0</v>
      </c>
      <c r="E30" s="1015"/>
      <c r="F30" s="254"/>
      <c r="G30" s="254">
        <v>0</v>
      </c>
      <c r="H30" s="851">
        <v>0</v>
      </c>
      <c r="I30" s="1275">
        <v>0</v>
      </c>
      <c r="J30" s="851">
        <v>0</v>
      </c>
      <c r="K30" s="851">
        <v>0</v>
      </c>
      <c r="L30" s="851">
        <v>388</v>
      </c>
      <c r="M30" s="1275">
        <v>0</v>
      </c>
      <c r="N30" s="851">
        <v>0</v>
      </c>
      <c r="O30" s="851">
        <v>2290</v>
      </c>
      <c r="P30" s="1240">
        <v>1443</v>
      </c>
      <c r="Q30" s="1275">
        <v>-23244</v>
      </c>
      <c r="R30" s="851">
        <v>0</v>
      </c>
      <c r="S30" s="851">
        <v>1750</v>
      </c>
      <c r="T30" s="1240">
        <v>0</v>
      </c>
      <c r="U30" s="1275">
        <v>10990</v>
      </c>
      <c r="V30" s="1215">
        <v>5000</v>
      </c>
      <c r="W30" s="1240">
        <v>0</v>
      </c>
      <c r="X30" s="1240">
        <v>0</v>
      </c>
      <c r="Y30" s="1275">
        <v>0</v>
      </c>
      <c r="Z30" s="1240">
        <v>0</v>
      </c>
      <c r="AA30" s="1240">
        <v>0</v>
      </c>
      <c r="AB30" s="1240">
        <v>0</v>
      </c>
      <c r="AC30" s="1268">
        <v>0</v>
      </c>
      <c r="AD30" s="1279"/>
      <c r="AE30" s="1279">
        <v>0</v>
      </c>
      <c r="AF30" s="1279">
        <v>0</v>
      </c>
      <c r="AG30" s="1279">
        <v>0</v>
      </c>
      <c r="AH30" s="1280">
        <v>0</v>
      </c>
      <c r="AI30" s="1281">
        <v>0</v>
      </c>
      <c r="AJ30" s="1281">
        <v>0</v>
      </c>
      <c r="AK30" s="1281">
        <v>0</v>
      </c>
      <c r="AL30" s="1282"/>
      <c r="AM30" s="1215">
        <v>0</v>
      </c>
      <c r="AN30" s="1240">
        <v>388</v>
      </c>
      <c r="AO30" s="1272">
        <v>-388</v>
      </c>
      <c r="AP30" s="1014">
        <v>-1</v>
      </c>
      <c r="AQ30" s="1283"/>
      <c r="AR30" s="1284">
        <v>388</v>
      </c>
      <c r="AS30" s="1284">
        <v>3733</v>
      </c>
      <c r="AT30" s="1284">
        <v>12740</v>
      </c>
      <c r="AU30" s="1285">
        <v>5000</v>
      </c>
      <c r="AV30" s="1285">
        <v>0</v>
      </c>
      <c r="AW30" s="1066">
        <v>0</v>
      </c>
      <c r="AX30" s="1066">
        <v>0</v>
      </c>
      <c r="AY30" s="1067">
        <v>0</v>
      </c>
      <c r="AZ30" s="1039"/>
      <c r="BA30" s="1039">
        <v>0</v>
      </c>
      <c r="BB30" s="957"/>
      <c r="BD30" s="957"/>
      <c r="BE30" s="957"/>
      <c r="BF30" s="957"/>
      <c r="BG30" s="957"/>
    </row>
    <row r="31" spans="1:59" ht="12.75" customHeight="1" hidden="1">
      <c r="A31" s="966"/>
      <c r="B31" s="1072" t="s">
        <v>192</v>
      </c>
      <c r="C31" s="1013">
        <v>0</v>
      </c>
      <c r="D31" s="1014">
        <v>0</v>
      </c>
      <c r="E31" s="1015"/>
      <c r="F31" s="1068"/>
      <c r="G31" s="1068"/>
      <c r="H31" s="1277"/>
      <c r="I31" s="1286"/>
      <c r="J31" s="1277"/>
      <c r="K31" s="1277"/>
      <c r="L31" s="1277"/>
      <c r="M31" s="1286"/>
      <c r="N31" s="1277"/>
      <c r="O31" s="1277"/>
      <c r="P31" s="1277"/>
      <c r="Q31" s="1286"/>
      <c r="R31" s="1277"/>
      <c r="S31" s="1277"/>
      <c r="T31" s="1277"/>
      <c r="U31" s="1286"/>
      <c r="V31" s="1277"/>
      <c r="W31" s="1277"/>
      <c r="X31" s="1277"/>
      <c r="Y31" s="1286"/>
      <c r="Z31" s="1277"/>
      <c r="AA31" s="1277"/>
      <c r="AB31" s="1277"/>
      <c r="AC31" s="1286"/>
      <c r="AD31" s="1288"/>
      <c r="AE31" s="1277">
        <v>0</v>
      </c>
      <c r="AF31" s="1277">
        <v>0</v>
      </c>
      <c r="AG31" s="1277">
        <v>0</v>
      </c>
      <c r="AH31" s="1288">
        <v>0</v>
      </c>
      <c r="AI31" s="1286">
        <v>0</v>
      </c>
      <c r="AJ31" s="1286">
        <v>0</v>
      </c>
      <c r="AK31" s="1286">
        <v>0</v>
      </c>
      <c r="AL31" s="1271"/>
      <c r="AM31" s="1215">
        <v>0</v>
      </c>
      <c r="AN31" s="1277">
        <v>0</v>
      </c>
      <c r="AO31" s="1291">
        <v>0</v>
      </c>
      <c r="AP31" s="1014" t="e">
        <v>#DIV/0!</v>
      </c>
      <c r="AQ31" s="1273"/>
      <c r="AR31" s="1276"/>
      <c r="AS31" s="1276"/>
      <c r="AT31" s="1276"/>
      <c r="AU31" s="1276"/>
      <c r="AV31" s="1276"/>
      <c r="AW31" s="1071"/>
      <c r="AX31" s="1071"/>
      <c r="AY31" s="1039"/>
      <c r="AZ31" s="1039"/>
      <c r="BA31" s="1039">
        <v>0</v>
      </c>
      <c r="BB31" s="957"/>
      <c r="BD31" s="957"/>
      <c r="BE31" s="957"/>
      <c r="BF31" s="957"/>
      <c r="BG31" s="957"/>
    </row>
    <row r="32" spans="1:59" ht="12.75" customHeight="1">
      <c r="A32" s="966"/>
      <c r="B32" s="966" t="s">
        <v>191</v>
      </c>
      <c r="C32" s="1013">
        <v>0</v>
      </c>
      <c r="D32" s="1014">
        <v>0</v>
      </c>
      <c r="E32" s="1015"/>
      <c r="F32" s="1068"/>
      <c r="G32" s="1068">
        <v>0</v>
      </c>
      <c r="H32" s="1277">
        <v>0</v>
      </c>
      <c r="I32" s="1286">
        <v>0</v>
      </c>
      <c r="J32" s="1277">
        <v>0</v>
      </c>
      <c r="K32" s="1277">
        <v>0</v>
      </c>
      <c r="L32" s="1277">
        <v>0</v>
      </c>
      <c r="M32" s="1286">
        <v>0</v>
      </c>
      <c r="N32" s="1277">
        <v>0</v>
      </c>
      <c r="O32" s="1277">
        <v>0</v>
      </c>
      <c r="P32" s="1277">
        <v>0</v>
      </c>
      <c r="Q32" s="1286">
        <v>0</v>
      </c>
      <c r="R32" s="1277"/>
      <c r="S32" s="1277"/>
      <c r="T32" s="1277"/>
      <c r="U32" s="1286"/>
      <c r="V32" s="1277"/>
      <c r="W32" s="1277">
        <v>0</v>
      </c>
      <c r="X32" s="1277">
        <v>0</v>
      </c>
      <c r="Y32" s="1286">
        <v>0</v>
      </c>
      <c r="Z32" s="1277">
        <v>0</v>
      </c>
      <c r="AA32" s="1277">
        <v>0</v>
      </c>
      <c r="AB32" s="1277">
        <v>0</v>
      </c>
      <c r="AC32" s="1286">
        <v>0</v>
      </c>
      <c r="AD32" s="1288">
        <v>0</v>
      </c>
      <c r="AE32" s="1277">
        <v>0</v>
      </c>
      <c r="AF32" s="1277">
        <v>0</v>
      </c>
      <c r="AG32" s="1277">
        <v>0</v>
      </c>
      <c r="AH32" s="1288">
        <v>0</v>
      </c>
      <c r="AI32" s="1286">
        <v>0</v>
      </c>
      <c r="AJ32" s="1286"/>
      <c r="AK32" s="1286"/>
      <c r="AL32" s="1271"/>
      <c r="AM32" s="1215">
        <v>0</v>
      </c>
      <c r="AN32" s="1277">
        <v>0</v>
      </c>
      <c r="AO32" s="1291">
        <v>0</v>
      </c>
      <c r="AP32" s="1014">
        <v>0</v>
      </c>
      <c r="AQ32" s="1273"/>
      <c r="AR32" s="1292">
        <v>0</v>
      </c>
      <c r="AS32" s="1292">
        <v>0</v>
      </c>
      <c r="AT32" s="1292">
        <v>0</v>
      </c>
      <c r="AU32" s="1292">
        <v>0</v>
      </c>
      <c r="AV32" s="1276">
        <v>3958</v>
      </c>
      <c r="AW32" s="1071">
        <v>0</v>
      </c>
      <c r="AX32" s="1071">
        <v>0</v>
      </c>
      <c r="AY32" s="1071">
        <v>0</v>
      </c>
      <c r="AZ32" s="1071">
        <v>0</v>
      </c>
      <c r="BA32" s="1071">
        <v>0</v>
      </c>
      <c r="BB32" s="957"/>
      <c r="BD32" s="957"/>
      <c r="BE32" s="957"/>
      <c r="BF32" s="957"/>
      <c r="BG32" s="957"/>
    </row>
    <row r="33" spans="1:59" ht="12.75" customHeight="1" hidden="1">
      <c r="A33" s="1002"/>
      <c r="B33" s="966"/>
      <c r="C33" s="1013"/>
      <c r="D33" s="1014"/>
      <c r="E33" s="1015"/>
      <c r="F33" s="1053"/>
      <c r="G33" s="254"/>
      <c r="H33" s="920"/>
      <c r="I33" s="917"/>
      <c r="J33" s="1240"/>
      <c r="K33" s="851"/>
      <c r="L33" s="920"/>
      <c r="M33" s="917"/>
      <c r="N33" s="1240"/>
      <c r="O33" s="920"/>
      <c r="P33" s="920"/>
      <c r="Q33" s="917"/>
      <c r="R33" s="1240"/>
      <c r="S33" s="920"/>
      <c r="T33" s="920"/>
      <c r="U33" s="917"/>
      <c r="V33" s="1240"/>
      <c r="W33" s="1293"/>
      <c r="X33" s="1293"/>
      <c r="Y33" s="1294"/>
      <c r="Z33" s="1215"/>
      <c r="AA33" s="1215"/>
      <c r="AB33" s="1293"/>
      <c r="AC33" s="1294"/>
      <c r="AD33" s="1295"/>
      <c r="AE33" s="1277"/>
      <c r="AF33" s="1277"/>
      <c r="AG33" s="1277"/>
      <c r="AH33" s="1288"/>
      <c r="AI33" s="1286"/>
      <c r="AJ33" s="1268"/>
      <c r="AK33" s="1268"/>
      <c r="AL33" s="1271"/>
      <c r="AM33" s="1215"/>
      <c r="AN33" s="920"/>
      <c r="AO33" s="1272"/>
      <c r="AP33" s="1014"/>
      <c r="AQ33" s="1273"/>
      <c r="AR33" s="1292"/>
      <c r="AS33" s="1292"/>
      <c r="AT33" s="918"/>
      <c r="AU33" s="1292"/>
      <c r="AV33" s="1292"/>
      <c r="AW33" s="1076"/>
      <c r="AX33" s="1076"/>
      <c r="AY33" s="1076"/>
      <c r="AZ33" s="1039"/>
      <c r="BA33" s="1039"/>
      <c r="BB33" s="957"/>
      <c r="BD33" s="957"/>
      <c r="BE33" s="957"/>
      <c r="BF33" s="957"/>
      <c r="BG33" s="957"/>
    </row>
    <row r="34" spans="1:59" ht="12.75" customHeight="1">
      <c r="A34" s="1002"/>
      <c r="B34" s="966"/>
      <c r="C34" s="1026">
        <v>-16439</v>
      </c>
      <c r="D34" s="1077">
        <v>-0.3294124719461366</v>
      </c>
      <c r="E34" s="1015"/>
      <c r="F34" s="1029"/>
      <c r="G34" s="1306">
        <v>33465</v>
      </c>
      <c r="H34" s="1306">
        <v>33106</v>
      </c>
      <c r="I34" s="1309">
        <v>26171</v>
      </c>
      <c r="J34" s="1306">
        <v>40427</v>
      </c>
      <c r="K34" s="1306">
        <v>49904</v>
      </c>
      <c r="L34" s="1306">
        <v>35842</v>
      </c>
      <c r="M34" s="1309">
        <v>31620</v>
      </c>
      <c r="N34" s="1306">
        <v>58961</v>
      </c>
      <c r="O34" s="1306">
        <v>43143</v>
      </c>
      <c r="P34" s="1306">
        <v>37095</v>
      </c>
      <c r="Q34" s="1309">
        <v>18022</v>
      </c>
      <c r="R34" s="1312">
        <v>50271</v>
      </c>
      <c r="S34" s="1312">
        <v>61943</v>
      </c>
      <c r="T34" s="1306">
        <v>34417</v>
      </c>
      <c r="U34" s="1309">
        <v>44140</v>
      </c>
      <c r="V34" s="1306">
        <v>27693</v>
      </c>
      <c r="W34" s="1312">
        <v>37922</v>
      </c>
      <c r="X34" s="1306">
        <v>19480</v>
      </c>
      <c r="Y34" s="1309">
        <v>22187</v>
      </c>
      <c r="Z34" s="1312">
        <v>15783</v>
      </c>
      <c r="AA34" s="1312">
        <v>21597</v>
      </c>
      <c r="AB34" s="1312">
        <v>20639</v>
      </c>
      <c r="AC34" s="1309">
        <v>27571</v>
      </c>
      <c r="AD34" s="1312">
        <v>24147</v>
      </c>
      <c r="AE34" s="1312">
        <v>87449</v>
      </c>
      <c r="AF34" s="1305">
        <v>74128</v>
      </c>
      <c r="AG34" s="1312">
        <v>106349</v>
      </c>
      <c r="AH34" s="1313">
        <v>100905</v>
      </c>
      <c r="AI34" s="1309">
        <v>75317</v>
      </c>
      <c r="AJ34" s="1309">
        <v>70703</v>
      </c>
      <c r="AK34" s="1312">
        <v>91522</v>
      </c>
      <c r="AL34" s="1271"/>
      <c r="AM34" s="1306">
        <v>92742</v>
      </c>
      <c r="AN34" s="1306">
        <v>117366</v>
      </c>
      <c r="AO34" s="1354">
        <v>-24624</v>
      </c>
      <c r="AP34" s="1081">
        <v>-0.20980522468176474</v>
      </c>
      <c r="AQ34" s="1006"/>
      <c r="AR34" s="1082">
        <v>157791</v>
      </c>
      <c r="AS34" s="1082">
        <v>180808</v>
      </c>
      <c r="AT34" s="1082">
        <v>219154</v>
      </c>
      <c r="AU34" s="1082">
        <v>129651</v>
      </c>
      <c r="AV34" s="1082">
        <v>111254</v>
      </c>
      <c r="AW34" s="1082">
        <v>120138</v>
      </c>
      <c r="AX34" s="1082">
        <v>125171</v>
      </c>
      <c r="AY34" s="1083">
        <v>105485</v>
      </c>
      <c r="AZ34" s="1083">
        <v>67435</v>
      </c>
      <c r="BA34" s="1033">
        <v>154490</v>
      </c>
      <c r="BB34" s="957"/>
      <c r="BD34" s="957"/>
      <c r="BE34" s="957"/>
      <c r="BF34" s="957"/>
      <c r="BG34" s="957"/>
    </row>
    <row r="35" spans="1:59" s="1089" customFormat="1" ht="24.75" customHeight="1" thickBot="1">
      <c r="A35" s="1449" t="s">
        <v>216</v>
      </c>
      <c r="B35" s="1450"/>
      <c r="C35" s="1026">
        <v>-18733</v>
      </c>
      <c r="D35" s="1027">
        <v>-0.7055478136416707</v>
      </c>
      <c r="E35" s="1015"/>
      <c r="F35" s="1052"/>
      <c r="G35" s="1315">
        <v>7818</v>
      </c>
      <c r="H35" s="1315">
        <v>-1842</v>
      </c>
      <c r="I35" s="1314">
        <v>6739</v>
      </c>
      <c r="J35" s="1315">
        <v>16387</v>
      </c>
      <c r="K35" s="1315">
        <v>26551</v>
      </c>
      <c r="L35" s="1315">
        <v>-396</v>
      </c>
      <c r="M35" s="1314">
        <v>4004</v>
      </c>
      <c r="N35" s="1315">
        <v>12045</v>
      </c>
      <c r="O35" s="1315">
        <v>13799</v>
      </c>
      <c r="P35" s="1315">
        <v>5396</v>
      </c>
      <c r="Q35" s="1314">
        <v>43845</v>
      </c>
      <c r="R35" s="1315">
        <v>38361</v>
      </c>
      <c r="S35" s="1315">
        <v>47461</v>
      </c>
      <c r="T35" s="1240">
        <v>15492</v>
      </c>
      <c r="U35" s="1314">
        <v>8917</v>
      </c>
      <c r="V35" s="1240">
        <v>5113</v>
      </c>
      <c r="W35" s="1315">
        <v>20118</v>
      </c>
      <c r="X35" s="1240">
        <v>7834</v>
      </c>
      <c r="Y35" s="1314">
        <v>7867</v>
      </c>
      <c r="Z35" s="1315">
        <v>9250</v>
      </c>
      <c r="AA35" s="1315">
        <v>-8958</v>
      </c>
      <c r="AB35" s="1315">
        <v>2822</v>
      </c>
      <c r="AC35" s="1314">
        <v>6781</v>
      </c>
      <c r="AD35" s="1315">
        <v>7797</v>
      </c>
      <c r="AE35" s="1306">
        <v>22134</v>
      </c>
      <c r="AF35" s="1305">
        <v>14943</v>
      </c>
      <c r="AG35" s="1306">
        <v>48674</v>
      </c>
      <c r="AH35" s="1306">
        <v>29246</v>
      </c>
      <c r="AI35" s="1306">
        <v>26110</v>
      </c>
      <c r="AJ35" s="1306">
        <v>22330</v>
      </c>
      <c r="AK35" s="1306">
        <v>33584</v>
      </c>
      <c r="AL35" s="1271"/>
      <c r="AM35" s="1378">
        <v>12715</v>
      </c>
      <c r="AN35" s="1315">
        <v>30157</v>
      </c>
      <c r="AO35" s="1345">
        <v>-17442</v>
      </c>
      <c r="AP35" s="1027">
        <v>-0.5783731803561363</v>
      </c>
      <c r="AQ35" s="1006"/>
      <c r="AR35" s="1032">
        <v>46546</v>
      </c>
      <c r="AS35" s="1032">
        <v>51498</v>
      </c>
      <c r="AT35" s="1032">
        <v>119366</v>
      </c>
      <c r="AU35" s="1032">
        <v>47930</v>
      </c>
      <c r="AV35" s="1032">
        <v>11596</v>
      </c>
      <c r="AW35" s="1085">
        <v>56517</v>
      </c>
      <c r="AX35" s="1085">
        <v>62391</v>
      </c>
      <c r="AY35" s="1033">
        <v>44985</v>
      </c>
      <c r="AZ35" s="1033">
        <v>28124</v>
      </c>
      <c r="BA35" s="1087">
        <v>57268</v>
      </c>
      <c r="BB35" s="1088"/>
      <c r="BD35" s="1088"/>
      <c r="BE35" s="1088"/>
      <c r="BF35" s="1088"/>
      <c r="BG35" s="1088"/>
    </row>
    <row r="36" spans="1:59" s="1089" customFormat="1" ht="12.75" customHeight="1" thickTop="1">
      <c r="A36" s="1090"/>
      <c r="B36" s="1091" t="s">
        <v>455</v>
      </c>
      <c r="C36" s="1043">
        <v>165</v>
      </c>
      <c r="D36" s="1055">
        <v>0.06368197607101506</v>
      </c>
      <c r="E36" s="1015"/>
      <c r="F36" s="1086"/>
      <c r="G36" s="1293">
        <v>2756</v>
      </c>
      <c r="H36" s="1293">
        <v>1772</v>
      </c>
      <c r="I36" s="1275">
        <v>2361</v>
      </c>
      <c r="J36" s="1293">
        <v>2279</v>
      </c>
      <c r="K36" s="1293">
        <v>2591</v>
      </c>
      <c r="L36" s="1293">
        <v>2518</v>
      </c>
      <c r="M36" s="1275">
        <v>2914</v>
      </c>
      <c r="N36" s="1240">
        <v>3107</v>
      </c>
      <c r="O36" s="1240">
        <v>2615</v>
      </c>
      <c r="P36" s="1293">
        <v>3104</v>
      </c>
      <c r="Q36" s="1275">
        <v>3041</v>
      </c>
      <c r="R36" s="1315">
        <v>1560</v>
      </c>
      <c r="S36" s="1240">
        <v>1796</v>
      </c>
      <c r="T36" s="1315">
        <v>1873</v>
      </c>
      <c r="U36" s="1275">
        <v>1741</v>
      </c>
      <c r="V36" s="1315">
        <v>1757</v>
      </c>
      <c r="W36" s="1240">
        <v>1483</v>
      </c>
      <c r="X36" s="1315">
        <v>1374</v>
      </c>
      <c r="Y36" s="1275">
        <v>1459</v>
      </c>
      <c r="Z36" s="1240">
        <v>2224</v>
      </c>
      <c r="AA36" s="1240">
        <v>671</v>
      </c>
      <c r="AB36" s="1240">
        <v>2365</v>
      </c>
      <c r="AC36" s="1275">
        <v>1384</v>
      </c>
      <c r="AD36" s="1240">
        <v>889</v>
      </c>
      <c r="AE36" s="1316" t="s">
        <v>214</v>
      </c>
      <c r="AF36" s="1317" t="s">
        <v>214</v>
      </c>
      <c r="AG36" s="1316"/>
      <c r="AH36" s="1316"/>
      <c r="AI36" s="1316"/>
      <c r="AJ36" s="1316"/>
      <c r="AK36" s="1316"/>
      <c r="AL36" s="1318"/>
      <c r="AM36" s="1315">
        <v>6889</v>
      </c>
      <c r="AN36" s="1315">
        <v>8023</v>
      </c>
      <c r="AO36" s="621">
        <v>-1134</v>
      </c>
      <c r="AP36" s="1055">
        <v>-0.14134363704349995</v>
      </c>
      <c r="AQ36" s="1092"/>
      <c r="AR36" s="1025">
        <v>10302</v>
      </c>
      <c r="AS36" s="1025">
        <v>11867</v>
      </c>
      <c r="AT36" s="1025">
        <v>10903</v>
      </c>
      <c r="AU36" s="1025">
        <v>9573</v>
      </c>
      <c r="AV36" s="1299" t="s">
        <v>214</v>
      </c>
      <c r="AW36" s="1042">
        <v>2661</v>
      </c>
      <c r="AX36" s="1042">
        <v>2823</v>
      </c>
      <c r="AY36" s="1093">
        <v>2501</v>
      </c>
      <c r="AZ36" s="1039">
        <v>3033</v>
      </c>
      <c r="BA36" s="1050"/>
      <c r="BB36" s="1088"/>
      <c r="BD36" s="1088"/>
      <c r="BE36" s="1088"/>
      <c r="BF36" s="1088"/>
      <c r="BG36" s="1088"/>
    </row>
    <row r="37" spans="1:59" s="1089" customFormat="1" ht="13.5" thickBot="1">
      <c r="A37" s="1449" t="s">
        <v>82</v>
      </c>
      <c r="B37" s="1451"/>
      <c r="C37" s="1094">
        <v>-18898</v>
      </c>
      <c r="D37" s="1095">
        <v>-0.7887312186978297</v>
      </c>
      <c r="E37" s="1015"/>
      <c r="F37" s="1096"/>
      <c r="G37" s="1319">
        <v>5062</v>
      </c>
      <c r="H37" s="1319">
        <v>-3614</v>
      </c>
      <c r="I37" s="1320">
        <v>4378</v>
      </c>
      <c r="J37" s="1319">
        <v>14108</v>
      </c>
      <c r="K37" s="1319">
        <v>23960</v>
      </c>
      <c r="L37" s="1319">
        <v>-2914</v>
      </c>
      <c r="M37" s="1320">
        <v>1090</v>
      </c>
      <c r="N37" s="1319">
        <v>8938</v>
      </c>
      <c r="O37" s="1319">
        <v>11184</v>
      </c>
      <c r="P37" s="1319">
        <v>2292</v>
      </c>
      <c r="Q37" s="1320">
        <v>40804</v>
      </c>
      <c r="R37" s="1319">
        <v>36801</v>
      </c>
      <c r="S37" s="1319">
        <v>45665</v>
      </c>
      <c r="T37" s="1319">
        <v>13619</v>
      </c>
      <c r="U37" s="1320">
        <v>7176</v>
      </c>
      <c r="V37" s="1319">
        <v>3356</v>
      </c>
      <c r="W37" s="1319">
        <v>18635</v>
      </c>
      <c r="X37" s="1319">
        <v>6460</v>
      </c>
      <c r="Y37" s="1320">
        <v>6408</v>
      </c>
      <c r="Z37" s="1319">
        <v>7026</v>
      </c>
      <c r="AA37" s="1319">
        <v>-9629</v>
      </c>
      <c r="AB37" s="1319">
        <v>457</v>
      </c>
      <c r="AC37" s="1320">
        <v>5397</v>
      </c>
      <c r="AD37" s="1319">
        <v>6908</v>
      </c>
      <c r="AE37" s="1321" t="s">
        <v>214</v>
      </c>
      <c r="AF37" s="1322" t="s">
        <v>214</v>
      </c>
      <c r="AG37" s="1321"/>
      <c r="AH37" s="1321"/>
      <c r="AI37" s="1321"/>
      <c r="AJ37" s="1321"/>
      <c r="AK37" s="1321"/>
      <c r="AL37" s="1318"/>
      <c r="AM37" s="1319">
        <v>5826</v>
      </c>
      <c r="AN37" s="1319">
        <v>22134</v>
      </c>
      <c r="AO37" s="718">
        <v>-16308</v>
      </c>
      <c r="AP37" s="1095">
        <v>-0.7367850365952833</v>
      </c>
      <c r="AQ37" s="1092"/>
      <c r="AR37" s="1098">
        <v>36244</v>
      </c>
      <c r="AS37" s="1098">
        <v>39631</v>
      </c>
      <c r="AT37" s="1098">
        <v>108463</v>
      </c>
      <c r="AU37" s="1098">
        <v>38357</v>
      </c>
      <c r="AV37" s="1098">
        <v>11596</v>
      </c>
      <c r="AW37" s="1097">
        <v>53856</v>
      </c>
      <c r="AX37" s="1097">
        <v>59568</v>
      </c>
      <c r="AY37" s="1099">
        <v>42484</v>
      </c>
      <c r="AZ37" s="1033">
        <v>25091</v>
      </c>
      <c r="BA37" s="1050"/>
      <c r="BB37" s="1088"/>
      <c r="BD37" s="1088"/>
      <c r="BE37" s="1088"/>
      <c r="BF37" s="1088"/>
      <c r="BG37" s="1088"/>
    </row>
    <row r="38" spans="1:59" ht="12.75" customHeight="1" thickTop="1">
      <c r="A38" s="1072"/>
      <c r="B38" s="1072"/>
      <c r="C38" s="1050"/>
      <c r="D38" s="1100"/>
      <c r="E38" s="1100"/>
      <c r="F38" s="1100"/>
      <c r="G38" s="1101"/>
      <c r="H38" s="1101"/>
      <c r="I38" s="1006"/>
      <c r="J38" s="1100"/>
      <c r="K38" s="1101"/>
      <c r="L38" s="1101"/>
      <c r="M38" s="1006"/>
      <c r="N38" s="1100"/>
      <c r="O38" s="1100"/>
      <c r="P38" s="1101"/>
      <c r="Q38" s="1006"/>
      <c r="R38" s="1100"/>
      <c r="S38" s="1100"/>
      <c r="T38" s="1100"/>
      <c r="U38" s="1006"/>
      <c r="V38" s="1100"/>
      <c r="W38" s="1100"/>
      <c r="X38" s="1100"/>
      <c r="Y38" s="1006"/>
      <c r="Z38" s="1100"/>
      <c r="AA38" s="1100"/>
      <c r="AB38" s="1100"/>
      <c r="AC38" s="1006"/>
      <c r="AD38" s="1010"/>
      <c r="AE38" s="1010"/>
      <c r="AF38" s="1010"/>
      <c r="AG38" s="1010"/>
      <c r="AH38" s="1102"/>
      <c r="AI38" s="1102"/>
      <c r="AJ38" s="1102"/>
      <c r="AK38" s="1102"/>
      <c r="AL38" s="1006"/>
      <c r="AM38" s="1006"/>
      <c r="AN38" s="1006"/>
      <c r="AO38" s="1024"/>
      <c r="AP38" s="1100"/>
      <c r="AQ38" s="1006"/>
      <c r="AR38" s="1006"/>
      <c r="AS38" s="1006"/>
      <c r="AT38" s="1006"/>
      <c r="AU38" s="1006"/>
      <c r="AV38" s="1006"/>
      <c r="AW38" s="1050"/>
      <c r="AX38" s="1050"/>
      <c r="AY38" s="1050"/>
      <c r="AZ38" s="1050"/>
      <c r="BA38" s="1050"/>
      <c r="BB38" s="957"/>
      <c r="BD38" s="957"/>
      <c r="BE38" s="957"/>
      <c r="BF38" s="957"/>
      <c r="BG38" s="957"/>
    </row>
    <row r="39" spans="1:59" ht="12.75" customHeight="1">
      <c r="A39" s="1072" t="s">
        <v>401</v>
      </c>
      <c r="B39" s="1072"/>
      <c r="C39" s="1103">
        <v>-3.297545888501502</v>
      </c>
      <c r="D39" s="1100"/>
      <c r="E39" s="1100"/>
      <c r="F39" s="1104"/>
      <c r="G39" s="1104">
        <v>0.3902332679311097</v>
      </c>
      <c r="H39" s="1104">
        <v>0.3501471340839304</v>
      </c>
      <c r="I39" s="1104">
        <v>0.27371619568520206</v>
      </c>
      <c r="J39" s="1104">
        <v>0.4345231809061147</v>
      </c>
      <c r="K39" s="1104">
        <v>0.4232087268161247</v>
      </c>
      <c r="L39" s="1104">
        <v>0.39509098603470166</v>
      </c>
      <c r="M39" s="1104">
        <v>0.38086683134965194</v>
      </c>
      <c r="N39" s="1104">
        <v>0.4253161704644678</v>
      </c>
      <c r="O39" s="1104">
        <v>0.4118576797443012</v>
      </c>
      <c r="P39" s="1104">
        <v>0.4000376550328305</v>
      </c>
      <c r="Q39" s="1104">
        <v>0.47189939709376566</v>
      </c>
      <c r="R39" s="1104">
        <v>0.4856372416283058</v>
      </c>
      <c r="S39" s="1104">
        <v>0.43493839347738655</v>
      </c>
      <c r="T39" s="1104">
        <v>0.41539602075777915</v>
      </c>
      <c r="U39" s="1104"/>
      <c r="V39" s="1104"/>
      <c r="W39" s="1104"/>
      <c r="X39" s="1104"/>
      <c r="Y39" s="1104"/>
      <c r="Z39" s="1104"/>
      <c r="AA39" s="1104"/>
      <c r="AB39" s="1104"/>
      <c r="AC39" s="1104"/>
      <c r="AD39" s="1104"/>
      <c r="AE39" s="1104"/>
      <c r="AF39" s="1104"/>
      <c r="AG39" s="1104"/>
      <c r="AH39" s="1104"/>
      <c r="AI39" s="1104"/>
      <c r="AJ39" s="1104"/>
      <c r="AK39" s="1104"/>
      <c r="AL39" s="1104"/>
      <c r="AM39" s="1104">
        <v>0.3419877295959491</v>
      </c>
      <c r="AN39" s="1104">
        <v>0.40623495997234327</v>
      </c>
      <c r="AO39" s="1103">
        <v>-6.424723037639418</v>
      </c>
      <c r="AP39" s="1100"/>
      <c r="AQ39" s="1006"/>
      <c r="AR39" s="1104">
        <v>0.41409534249793234</v>
      </c>
      <c r="AS39" s="1104">
        <v>0.4297994886055461</v>
      </c>
      <c r="AT39" s="1104">
        <v>0.43447949899562804</v>
      </c>
      <c r="AU39" s="1104">
        <v>0.4879125582128719</v>
      </c>
      <c r="AV39" s="1104">
        <v>0.5135205535205535</v>
      </c>
      <c r="AW39" s="1104">
        <v>0.49947071976451274</v>
      </c>
      <c r="AX39" s="1050"/>
      <c r="AY39" s="1050"/>
      <c r="AZ39" s="1050"/>
      <c r="BA39" s="1050"/>
      <c r="BB39" s="957"/>
      <c r="BD39" s="957"/>
      <c r="BE39" s="957"/>
      <c r="BF39" s="957"/>
      <c r="BG39" s="957"/>
    </row>
    <row r="40" spans="1:59" ht="12.75" customHeight="1">
      <c r="A40" s="1072" t="s">
        <v>456</v>
      </c>
      <c r="B40" s="1072"/>
      <c r="C40" s="1103">
        <v>4.85779946409209</v>
      </c>
      <c r="D40" s="1100"/>
      <c r="E40" s="1100"/>
      <c r="F40" s="1104"/>
      <c r="G40" s="1104">
        <v>0.09735242109342829</v>
      </c>
      <c r="H40" s="1104">
        <v>0.15893679631525076</v>
      </c>
      <c r="I40" s="1104">
        <v>0.1552415679124886</v>
      </c>
      <c r="J40" s="1104">
        <v>0.06614566832118844</v>
      </c>
      <c r="K40" s="1104">
        <v>0.04877442645250739</v>
      </c>
      <c r="L40" s="1104">
        <v>0.15426717449569757</v>
      </c>
      <c r="M40" s="1104">
        <v>0.0985290815180777</v>
      </c>
      <c r="N40" s="1104">
        <v>0.08842914683266202</v>
      </c>
      <c r="O40" s="1104">
        <v>0.05714586772505356</v>
      </c>
      <c r="P40" s="1104">
        <v>0.07455696500435387</v>
      </c>
      <c r="Q40" s="1104">
        <v>-0.05440703444485752</v>
      </c>
      <c r="R40" s="1104">
        <v>-0.04219694918313927</v>
      </c>
      <c r="S40" s="1104">
        <v>0.0054659793060582796</v>
      </c>
      <c r="T40" s="1104">
        <v>0.03566491013644833</v>
      </c>
      <c r="U40" s="1104"/>
      <c r="V40" s="1104"/>
      <c r="W40" s="1104"/>
      <c r="X40" s="1104"/>
      <c r="Y40" s="1104"/>
      <c r="Z40" s="1104"/>
      <c r="AA40" s="1104"/>
      <c r="AB40" s="1104"/>
      <c r="AC40" s="1104"/>
      <c r="AD40" s="1104"/>
      <c r="AE40" s="1104"/>
      <c r="AF40" s="1104"/>
      <c r="AG40" s="1104"/>
      <c r="AH40" s="1104"/>
      <c r="AI40" s="1104"/>
      <c r="AJ40" s="1104"/>
      <c r="AK40" s="1104"/>
      <c r="AL40" s="1104"/>
      <c r="AM40" s="1104">
        <v>0.13367533686715913</v>
      </c>
      <c r="AN40" s="1104">
        <v>0.08614249981358839</v>
      </c>
      <c r="AO40" s="1103">
        <v>4.753283705357074</v>
      </c>
      <c r="AP40" s="1100"/>
      <c r="AQ40" s="1006"/>
      <c r="AR40" s="1104">
        <v>0.08057767315757793</v>
      </c>
      <c r="AS40" s="1104">
        <v>0.040184067566055116</v>
      </c>
      <c r="AT40" s="1104">
        <v>-0.003323289613612194</v>
      </c>
      <c r="AU40" s="1104">
        <v>0.03654107139840411</v>
      </c>
      <c r="AV40" s="1104">
        <v>0.032047212047212045</v>
      </c>
      <c r="AW40" s="1104">
        <v>-0.0014321700489654976</v>
      </c>
      <c r="AX40" s="1050"/>
      <c r="AY40" s="1050"/>
      <c r="AZ40" s="1050"/>
      <c r="BA40" s="1050"/>
      <c r="BB40" s="957"/>
      <c r="BD40" s="957"/>
      <c r="BE40" s="957"/>
      <c r="BF40" s="957"/>
      <c r="BG40" s="957"/>
    </row>
    <row r="41" spans="1:59" ht="12.75" customHeight="1">
      <c r="A41" s="1105" t="s">
        <v>84</v>
      </c>
      <c r="B41" s="1106"/>
      <c r="C41" s="1103">
        <v>1.5602535755905866</v>
      </c>
      <c r="D41" s="1100"/>
      <c r="E41" s="1100"/>
      <c r="F41" s="1104"/>
      <c r="G41" s="1104">
        <v>0.48758568902453797</v>
      </c>
      <c r="H41" s="1104">
        <v>0.5090839303991812</v>
      </c>
      <c r="I41" s="1104">
        <v>0.42895776359769067</v>
      </c>
      <c r="J41" s="1104">
        <v>0.5006688492273031</v>
      </c>
      <c r="K41" s="1104">
        <v>0.4719831532686321</v>
      </c>
      <c r="L41" s="1104">
        <v>0.5493581605303992</v>
      </c>
      <c r="M41" s="1104">
        <v>0.47939591286772965</v>
      </c>
      <c r="N41" s="1104">
        <v>0.5137453172971298</v>
      </c>
      <c r="O41" s="1104">
        <v>0.4690035474693548</v>
      </c>
      <c r="P41" s="1104">
        <v>0.47459462003718433</v>
      </c>
      <c r="Q41" s="1104">
        <v>0.41749236264890816</v>
      </c>
      <c r="R41" s="1104">
        <v>0.44344029244516653</v>
      </c>
      <c r="S41" s="1104">
        <v>0.44040437278344485</v>
      </c>
      <c r="T41" s="1104">
        <v>0.4510609308942275</v>
      </c>
      <c r="U41" s="1104">
        <v>0.4242230054469721</v>
      </c>
      <c r="V41" s="1104">
        <v>0.517236110262209</v>
      </c>
      <c r="W41" s="1104">
        <v>0.5384104687527299</v>
      </c>
      <c r="X41" s="1104">
        <v>0.5644905660377358</v>
      </c>
      <c r="Y41" s="1104">
        <v>0.5728022892127503</v>
      </c>
      <c r="Z41" s="1104">
        <v>0.4941876722726002</v>
      </c>
      <c r="AA41" s="1104">
        <v>0.8142258090038769</v>
      </c>
      <c r="AB41" s="1104">
        <v>0.5638293337879886</v>
      </c>
      <c r="AC41" s="1104">
        <v>0.5555717279925477</v>
      </c>
      <c r="AD41" s="1104">
        <v>0.5168419734535437</v>
      </c>
      <c r="AE41" s="1107">
        <v>0.529</v>
      </c>
      <c r="AF41" s="1107">
        <v>0.474</v>
      </c>
      <c r="AG41" s="1107">
        <v>0.492</v>
      </c>
      <c r="AH41" s="1107">
        <v>0.544</v>
      </c>
      <c r="AI41" s="1107">
        <v>0.508</v>
      </c>
      <c r="AJ41" s="1107">
        <v>0.487</v>
      </c>
      <c r="AK41" s="1107">
        <v>0.527</v>
      </c>
      <c r="AL41" s="1006"/>
      <c r="AM41" s="1104">
        <v>0.4756630664631082</v>
      </c>
      <c r="AN41" s="1104">
        <v>0.49237745978593167</v>
      </c>
      <c r="AO41" s="1103">
        <v>-1.6714393322823484</v>
      </c>
      <c r="AP41" s="1100"/>
      <c r="AQ41" s="1006"/>
      <c r="AR41" s="1107">
        <v>0.49467301565551025</v>
      </c>
      <c r="AS41" s="1107">
        <v>0.46998355617160126</v>
      </c>
      <c r="AT41" s="1107">
        <v>0.4311562093820158</v>
      </c>
      <c r="AU41" s="1107">
        <v>0.524453629611276</v>
      </c>
      <c r="AV41" s="1107">
        <v>0.5455677655677655</v>
      </c>
      <c r="AW41" s="1107">
        <v>0.49803854971554723</v>
      </c>
      <c r="AX41" s="1107">
        <v>0.5259167635235282</v>
      </c>
      <c r="AY41" s="1108">
        <v>0.5466804014089187</v>
      </c>
      <c r="AZ41" s="1108">
        <v>0.4997854728492345</v>
      </c>
      <c r="BA41" s="1108">
        <v>0.568</v>
      </c>
      <c r="BB41" s="957"/>
      <c r="BD41" s="957"/>
      <c r="BE41" s="957"/>
      <c r="BF41" s="957"/>
      <c r="BG41" s="957"/>
    </row>
    <row r="42" spans="1:59" ht="12.75" customHeight="1">
      <c r="A42" s="145" t="s">
        <v>259</v>
      </c>
      <c r="B42" s="1106"/>
      <c r="C42" s="1103">
        <v>2.9951351307231313</v>
      </c>
      <c r="D42" s="1100"/>
      <c r="E42" s="1100"/>
      <c r="F42" s="1104"/>
      <c r="G42" s="1104">
        <v>0.5214495070610179</v>
      </c>
      <c r="H42" s="1104">
        <v>0.5423490276356192</v>
      </c>
      <c r="I42" s="1104">
        <v>0.46906715284108175</v>
      </c>
      <c r="J42" s="1104">
        <v>0.5248178265920371</v>
      </c>
      <c r="K42" s="1104">
        <v>0.4914981557537866</v>
      </c>
      <c r="L42" s="1104">
        <v>0.6120186203977994</v>
      </c>
      <c r="M42" s="1104">
        <v>0.5281551762856501</v>
      </c>
      <c r="N42" s="1104">
        <v>0.5337577106160043</v>
      </c>
      <c r="O42" s="1104">
        <v>0.4920094130870008</v>
      </c>
      <c r="P42" s="1104">
        <v>0.49499894095220165</v>
      </c>
      <c r="Q42" s="1104">
        <v>0.44765383807199316</v>
      </c>
      <c r="R42" s="1104">
        <v>0.4517104431807925</v>
      </c>
      <c r="S42" s="1104">
        <v>0.4489049760520639</v>
      </c>
      <c r="T42" s="1104">
        <v>0.472219439379671</v>
      </c>
      <c r="U42" s="1104">
        <v>0.4457281791281075</v>
      </c>
      <c r="V42" s="1104">
        <v>0.5397286229448077</v>
      </c>
      <c r="W42" s="1104">
        <v>0.5577336338382515</v>
      </c>
      <c r="X42" s="1104">
        <v>0.5812830188679246</v>
      </c>
      <c r="Y42" s="1104">
        <v>0.5884075331070739</v>
      </c>
      <c r="Z42" s="1104">
        <v>0.5147205688491192</v>
      </c>
      <c r="AA42" s="1104">
        <v>0.8565551072078488</v>
      </c>
      <c r="AB42" s="1104">
        <v>0.5940070755722262</v>
      </c>
      <c r="AC42" s="1104">
        <v>0.5828481602235678</v>
      </c>
      <c r="AD42" s="1104">
        <v>0.5347170047583271</v>
      </c>
      <c r="AE42" s="1107">
        <v>0.559</v>
      </c>
      <c r="AF42" s="1107">
        <v>0.51</v>
      </c>
      <c r="AG42" s="1107">
        <v>0.517</v>
      </c>
      <c r="AH42" s="1107">
        <v>0.564</v>
      </c>
      <c r="AI42" s="1107">
        <v>0.539</v>
      </c>
      <c r="AJ42" s="1107">
        <v>0.511</v>
      </c>
      <c r="AK42" s="1107">
        <v>0.553</v>
      </c>
      <c r="AL42" s="1006"/>
      <c r="AM42" s="1104">
        <v>0.5112984439155296</v>
      </c>
      <c r="AN42" s="1104">
        <v>0.5293208516638084</v>
      </c>
      <c r="AO42" s="1103">
        <v>-1.802240774827879</v>
      </c>
      <c r="AP42" s="1100"/>
      <c r="AQ42" s="1006"/>
      <c r="AR42" s="1107">
        <v>0.5280590397235939</v>
      </c>
      <c r="AS42" s="1107">
        <v>0.4935042573157818</v>
      </c>
      <c r="AT42" s="1107">
        <v>0.44817145220371024</v>
      </c>
      <c r="AU42" s="1107">
        <v>0.5496928162359712</v>
      </c>
      <c r="AV42" s="1107">
        <v>0.5804802604802605</v>
      </c>
      <c r="AW42" s="1107">
        <v>0.5159208626984801</v>
      </c>
      <c r="AX42" s="1107">
        <v>0.535764173979804</v>
      </c>
      <c r="AY42" s="1108">
        <v>0.5627234664717219</v>
      </c>
      <c r="AZ42" s="1108">
        <v>0.5698887598237738</v>
      </c>
      <c r="BA42" s="1108">
        <v>0.627</v>
      </c>
      <c r="BB42" s="957"/>
      <c r="BD42" s="957"/>
      <c r="BE42" s="957"/>
      <c r="BF42" s="957"/>
      <c r="BG42" s="957"/>
    </row>
    <row r="43" spans="1:59" ht="12.75" customHeight="1">
      <c r="A43" s="1105" t="s">
        <v>85</v>
      </c>
      <c r="B43" s="1106"/>
      <c r="C43" s="1103">
        <v>12.795359440043327</v>
      </c>
      <c r="D43" s="1100"/>
      <c r="E43" s="1100"/>
      <c r="F43" s="1104"/>
      <c r="G43" s="1104">
        <v>0.2891747208293971</v>
      </c>
      <c r="H43" s="1104">
        <v>0.5165685772773797</v>
      </c>
      <c r="I43" s="1104">
        <v>0.3261622607110301</v>
      </c>
      <c r="J43" s="1104">
        <v>0.1867497447812159</v>
      </c>
      <c r="K43" s="1104">
        <v>0.16122112642896383</v>
      </c>
      <c r="L43" s="1104">
        <v>0.3991536182818451</v>
      </c>
      <c r="M43" s="1104">
        <v>0.3594486862789131</v>
      </c>
      <c r="N43" s="1104">
        <v>0.29660873728980647</v>
      </c>
      <c r="O43" s="1104">
        <v>0.26565628183063467</v>
      </c>
      <c r="P43" s="1104">
        <v>0.37800946082699866</v>
      </c>
      <c r="Q43" s="1104">
        <v>-0.15635152827840368</v>
      </c>
      <c r="R43" s="1104">
        <v>0.11547747991696002</v>
      </c>
      <c r="S43" s="1104">
        <v>0.11728090380607656</v>
      </c>
      <c r="T43" s="1104">
        <v>0.21737562363501572</v>
      </c>
      <c r="U43" s="1104">
        <v>0.3862072865031947</v>
      </c>
      <c r="V43" s="1104">
        <v>0.3065827272171628</v>
      </c>
      <c r="W43" s="1104">
        <v>0.10480982581197477</v>
      </c>
      <c r="X43" s="1104">
        <v>0.15381132075471698</v>
      </c>
      <c r="Y43" s="1104">
        <v>0.14983030545018966</v>
      </c>
      <c r="Z43" s="1104">
        <v>0.11576718731274717</v>
      </c>
      <c r="AA43" s="1104">
        <v>0.8522034971121133</v>
      </c>
      <c r="AB43" s="1104">
        <v>0.2857081965815609</v>
      </c>
      <c r="AC43" s="1104">
        <v>0.2197543083372147</v>
      </c>
      <c r="AD43" s="1104">
        <v>0.22119959929877286</v>
      </c>
      <c r="AE43" s="1107">
        <v>0.239</v>
      </c>
      <c r="AF43" s="1107">
        <v>0.32199999999999995</v>
      </c>
      <c r="AG43" s="1107">
        <v>0.16900000000000004</v>
      </c>
      <c r="AH43" s="1107">
        <v>0.21100000000000008</v>
      </c>
      <c r="AI43" s="1107">
        <v>0.20399999999999996</v>
      </c>
      <c r="AJ43" s="1107">
        <v>0.249</v>
      </c>
      <c r="AK43" s="1107">
        <v>0.17899999999999994</v>
      </c>
      <c r="AL43" s="1006"/>
      <c r="AM43" s="1104">
        <v>0.3681310866040187</v>
      </c>
      <c r="AN43" s="1104">
        <v>0.2662567870772693</v>
      </c>
      <c r="AO43" s="1103">
        <v>10.187429952674943</v>
      </c>
      <c r="AP43" s="1100"/>
      <c r="AQ43" s="1006"/>
      <c r="AR43" s="1107">
        <v>0.24415059436127573</v>
      </c>
      <c r="AS43" s="1107">
        <v>0.28481399533374085</v>
      </c>
      <c r="AT43" s="1107">
        <v>0.19921718066879357</v>
      </c>
      <c r="AU43" s="1107">
        <v>0.18040218266593835</v>
      </c>
      <c r="AV43" s="1107">
        <v>0.3251282051282051</v>
      </c>
      <c r="AW43" s="1107">
        <v>0.1641504627664091</v>
      </c>
      <c r="AX43" s="1107">
        <v>0.13159381964363784</v>
      </c>
      <c r="AY43" s="1108">
        <v>0.13831328504020735</v>
      </c>
      <c r="AZ43" s="1108">
        <v>0.13580091880408962</v>
      </c>
      <c r="BA43" s="1108">
        <v>0.10299999999999998</v>
      </c>
      <c r="BB43" s="957"/>
      <c r="BD43" s="957"/>
      <c r="BE43" s="957"/>
      <c r="BF43" s="957"/>
      <c r="BG43" s="957"/>
    </row>
    <row r="44" spans="1:59" ht="12.75" customHeight="1">
      <c r="A44" s="1105" t="s">
        <v>86</v>
      </c>
      <c r="B44" s="1105"/>
      <c r="C44" s="1103">
        <v>15.790494570766455</v>
      </c>
      <c r="D44" s="1100"/>
      <c r="E44" s="1100"/>
      <c r="F44" s="1104"/>
      <c r="G44" s="1104">
        <v>0.810624227890415</v>
      </c>
      <c r="H44" s="1104">
        <v>1.058917604912999</v>
      </c>
      <c r="I44" s="1104">
        <v>0.7952294135521119</v>
      </c>
      <c r="J44" s="1104">
        <v>0.7115675713732531</v>
      </c>
      <c r="K44" s="1104">
        <v>0.6527192821827504</v>
      </c>
      <c r="L44" s="1104">
        <v>1.0111722386796445</v>
      </c>
      <c r="M44" s="1104">
        <v>0.8876038625645633</v>
      </c>
      <c r="N44" s="1104">
        <v>0.8303664479058108</v>
      </c>
      <c r="O44" s="1104">
        <v>0.7576656949176355</v>
      </c>
      <c r="P44" s="1104">
        <v>0.8730084017792002</v>
      </c>
      <c r="Q44" s="1104">
        <v>0.29130230979358945</v>
      </c>
      <c r="R44" s="1104">
        <v>0.5671879230977525</v>
      </c>
      <c r="S44" s="1104">
        <v>0.5661858798581405</v>
      </c>
      <c r="T44" s="1104">
        <v>0.6895950630146868</v>
      </c>
      <c r="U44" s="1104">
        <v>0.8319354656313022</v>
      </c>
      <c r="V44" s="1104">
        <v>0.8463113501619706</v>
      </c>
      <c r="W44" s="1104">
        <v>0.6625434596502262</v>
      </c>
      <c r="X44" s="1104">
        <v>0.7350943396226415</v>
      </c>
      <c r="Y44" s="1104">
        <v>0.7382378385572635</v>
      </c>
      <c r="Z44" s="1104">
        <v>0.6304877561618664</v>
      </c>
      <c r="AA44" s="1104">
        <v>1.708758604319962</v>
      </c>
      <c r="AB44" s="1104">
        <v>0.8797152721537871</v>
      </c>
      <c r="AC44" s="1104">
        <v>0.8026024685607824</v>
      </c>
      <c r="AD44" s="1104">
        <v>0.7559166040570999</v>
      </c>
      <c r="AE44" s="1107">
        <v>0.798</v>
      </c>
      <c r="AF44" s="1107">
        <v>0.832</v>
      </c>
      <c r="AG44" s="1107">
        <v>0.686</v>
      </c>
      <c r="AH44" s="1107">
        <v>0.775</v>
      </c>
      <c r="AI44" s="1107">
        <v>0.743</v>
      </c>
      <c r="AJ44" s="1107">
        <v>0.76</v>
      </c>
      <c r="AK44" s="1107">
        <v>0.732</v>
      </c>
      <c r="AL44" s="1006"/>
      <c r="AM44" s="1104">
        <v>0.8794295305195482</v>
      </c>
      <c r="AN44" s="1104">
        <v>0.7955776387410777</v>
      </c>
      <c r="AO44" s="1103">
        <v>8.385189177847053</v>
      </c>
      <c r="AP44" s="1100"/>
      <c r="AQ44" s="1006"/>
      <c r="AR44" s="1107">
        <v>0.7722096340848696</v>
      </c>
      <c r="AS44" s="1107">
        <v>0.7783182526495226</v>
      </c>
      <c r="AT44" s="1107">
        <v>0.6473886328725038</v>
      </c>
      <c r="AU44" s="1107">
        <v>0.7300949989019095</v>
      </c>
      <c r="AV44" s="1107">
        <v>0.9056084656084656</v>
      </c>
      <c r="AW44" s="1107">
        <v>0.6800713254648892</v>
      </c>
      <c r="AX44" s="1107">
        <v>0.6673579936234418</v>
      </c>
      <c r="AY44" s="1108">
        <v>0.7010367515119292</v>
      </c>
      <c r="AZ44" s="1108">
        <v>0.7056896786278634</v>
      </c>
      <c r="BA44" s="1108">
        <v>0.73</v>
      </c>
      <c r="BB44" s="957"/>
      <c r="BD44" s="957"/>
      <c r="BE44" s="957"/>
      <c r="BF44" s="957"/>
      <c r="BG44" s="957"/>
    </row>
    <row r="45" spans="1:59" ht="12.75" customHeight="1">
      <c r="A45" s="1105" t="s">
        <v>215</v>
      </c>
      <c r="B45" s="1105"/>
      <c r="C45" s="1103">
        <v>-15.79049457076645</v>
      </c>
      <c r="D45" s="1100"/>
      <c r="E45" s="1100"/>
      <c r="F45" s="1104"/>
      <c r="G45" s="1104">
        <v>0.18937577210958506</v>
      </c>
      <c r="H45" s="1104">
        <v>-0.05891760491299897</v>
      </c>
      <c r="I45" s="1104">
        <v>0.20477058644788818</v>
      </c>
      <c r="J45" s="1104">
        <v>0.28843242862674695</v>
      </c>
      <c r="K45" s="1104">
        <v>0.34728071781724956</v>
      </c>
      <c r="L45" s="1104">
        <v>-0.01117223867964452</v>
      </c>
      <c r="M45" s="1104">
        <v>0.11239613743543679</v>
      </c>
      <c r="N45" s="1104">
        <v>0.16963355209418923</v>
      </c>
      <c r="O45" s="1104">
        <v>0.2423343050823645</v>
      </c>
      <c r="P45" s="1104">
        <v>0.1269915982207997</v>
      </c>
      <c r="Q45" s="1104">
        <v>0.7086976902064105</v>
      </c>
      <c r="R45" s="1104">
        <v>0.4328120769022475</v>
      </c>
      <c r="S45" s="1104">
        <v>0.43381412014185955</v>
      </c>
      <c r="T45" s="1104">
        <v>0.3104049369853133</v>
      </c>
      <c r="U45" s="1104">
        <v>0.1680645343686978</v>
      </c>
      <c r="V45" s="1104">
        <v>0.15368864983802946</v>
      </c>
      <c r="W45" s="1104">
        <v>0.33745654034977374</v>
      </c>
      <c r="X45" s="1104">
        <v>0.26490566037735847</v>
      </c>
      <c r="Y45" s="1104">
        <v>0.2617621614427364</v>
      </c>
      <c r="Z45" s="1104">
        <v>0.36951224383813364</v>
      </c>
      <c r="AA45" s="1104">
        <v>-0.7087586043199621</v>
      </c>
      <c r="AB45" s="1104">
        <v>0.12028472784621286</v>
      </c>
      <c r="AC45" s="1104">
        <v>0.1973975314392175</v>
      </c>
      <c r="AD45" s="1104">
        <v>0.24408339594290007</v>
      </c>
      <c r="AE45" s="1107">
        <v>0.20199999999999996</v>
      </c>
      <c r="AF45" s="1107">
        <v>0.16800000000000004</v>
      </c>
      <c r="AG45" s="1107">
        <v>0.31399999999999995</v>
      </c>
      <c r="AH45" s="1107">
        <v>0.225</v>
      </c>
      <c r="AI45" s="1107">
        <v>0.257</v>
      </c>
      <c r="AJ45" s="1107">
        <v>0.24</v>
      </c>
      <c r="AK45" s="1107">
        <v>0.268</v>
      </c>
      <c r="AL45" s="1006"/>
      <c r="AM45" s="1104">
        <v>0.12057046948045175</v>
      </c>
      <c r="AN45" s="1104">
        <v>0.20442236125892232</v>
      </c>
      <c r="AO45" s="1103">
        <v>-8.385189177847058</v>
      </c>
      <c r="AP45" s="1100"/>
      <c r="AQ45" s="1006"/>
      <c r="AR45" s="1107">
        <v>0.2277903659151304</v>
      </c>
      <c r="AS45" s="1107">
        <v>0.22168174735047738</v>
      </c>
      <c r="AT45" s="1107">
        <v>0.35261136712749613</v>
      </c>
      <c r="AU45" s="1107">
        <v>0.26990500109809046</v>
      </c>
      <c r="AV45" s="1107">
        <v>0.09439153439153439</v>
      </c>
      <c r="AW45" s="1107">
        <v>0.3199286745351108</v>
      </c>
      <c r="AX45" s="1107">
        <v>0.33264200637655816</v>
      </c>
      <c r="AY45" s="1108">
        <v>0.2989632484880707</v>
      </c>
      <c r="AZ45" s="1108">
        <v>0.2943103213721366</v>
      </c>
      <c r="BA45" s="1108">
        <v>0.27</v>
      </c>
      <c r="BB45" s="957"/>
      <c r="BD45" s="957"/>
      <c r="BE45" s="957"/>
      <c r="BF45" s="957"/>
      <c r="BG45" s="957"/>
    </row>
    <row r="46" spans="1:59" ht="12.75" customHeight="1">
      <c r="A46" s="1105" t="s">
        <v>87</v>
      </c>
      <c r="B46" s="1105"/>
      <c r="C46" s="1103">
        <v>-19.077400080694865</v>
      </c>
      <c r="D46" s="1100"/>
      <c r="E46" s="1100"/>
      <c r="F46" s="1104"/>
      <c r="G46" s="1104">
        <v>0.12261705786885643</v>
      </c>
      <c r="H46" s="1104">
        <v>-0.11559621289662231</v>
      </c>
      <c r="I46" s="1104">
        <v>0.1330294743239137</v>
      </c>
      <c r="J46" s="1104">
        <v>0.2483190762840145</v>
      </c>
      <c r="K46" s="1104">
        <v>0.3133910586758051</v>
      </c>
      <c r="L46" s="1104">
        <v>-0.08221187755677811</v>
      </c>
      <c r="M46" s="1104">
        <v>0.03059735010105547</v>
      </c>
      <c r="N46" s="1104">
        <v>0.1258766864771991</v>
      </c>
      <c r="O46" s="1104">
        <v>0.19641038249446804</v>
      </c>
      <c r="P46" s="1104">
        <v>0.0539408345296651</v>
      </c>
      <c r="Q46" s="1104">
        <v>0.6595438602162704</v>
      </c>
      <c r="R46" s="1104">
        <v>0.41521121039805037</v>
      </c>
      <c r="S46" s="1104">
        <v>0.41739790135644034</v>
      </c>
      <c r="T46" s="1104">
        <v>0.2728766354765674</v>
      </c>
      <c r="U46" s="1104">
        <v>0.13525076804191719</v>
      </c>
      <c r="V46" s="1104">
        <v>0.09999388790416233</v>
      </c>
      <c r="W46" s="1104">
        <v>0.3115467267676503</v>
      </c>
      <c r="X46" s="1104">
        <v>0.2130566037735849</v>
      </c>
      <c r="Y46" s="1104">
        <v>0.21321621082052306</v>
      </c>
      <c r="Z46" s="1104">
        <v>0.2806695162385651</v>
      </c>
      <c r="AA46" s="1104">
        <v>-0.7618482474879342</v>
      </c>
      <c r="AB46" s="1104">
        <v>0.019479135586718384</v>
      </c>
      <c r="AC46" s="1104">
        <v>0.15710875640428504</v>
      </c>
      <c r="AD46" s="1104">
        <v>0.2162534435261708</v>
      </c>
      <c r="AE46" s="1109" t="s">
        <v>214</v>
      </c>
      <c r="AF46" s="1109" t="s">
        <v>214</v>
      </c>
      <c r="AG46" s="1100"/>
      <c r="AH46" s="1100"/>
      <c r="AI46" s="1100"/>
      <c r="AJ46" s="1100"/>
      <c r="AK46" s="1100"/>
      <c r="AL46" s="1054"/>
      <c r="AM46" s="1104">
        <v>0.055245265842950204</v>
      </c>
      <c r="AN46" s="1104">
        <v>0.15003762125227932</v>
      </c>
      <c r="AO46" s="1103">
        <v>-9.479235540932912</v>
      </c>
      <c r="AP46" s="1100"/>
      <c r="AQ46" s="1054"/>
      <c r="AR46" s="1107">
        <v>0.1773736523488159</v>
      </c>
      <c r="AS46" s="1107">
        <v>0.17059826263635033</v>
      </c>
      <c r="AT46" s="1107">
        <v>0.32040352120997284</v>
      </c>
      <c r="AU46" s="1107">
        <v>0.21599720690839674</v>
      </c>
      <c r="AV46" s="1107">
        <v>0.09439153439153439</v>
      </c>
      <c r="AW46" s="1107">
        <v>0.3048654156406555</v>
      </c>
      <c r="AX46" s="1107">
        <v>0.31759098324820595</v>
      </c>
      <c r="AY46" s="1108">
        <v>0.28234199508207614</v>
      </c>
      <c r="AZ46" s="1108">
        <v>0.26257076779790495</v>
      </c>
      <c r="BA46" s="1108"/>
      <c r="BB46" s="957"/>
      <c r="BD46" s="957"/>
      <c r="BE46" s="957"/>
      <c r="BF46" s="957"/>
      <c r="BG46" s="957"/>
    </row>
    <row r="47" spans="1:59" ht="12.75" customHeight="1">
      <c r="A47" s="1106"/>
      <c r="B47" s="1106"/>
      <c r="C47" s="1103"/>
      <c r="D47" s="1100"/>
      <c r="E47" s="1100"/>
      <c r="F47" s="1100"/>
      <c r="G47" s="1100"/>
      <c r="H47" s="1100"/>
      <c r="I47" s="1100"/>
      <c r="J47" s="1100"/>
      <c r="K47" s="1100"/>
      <c r="L47" s="1100"/>
      <c r="M47" s="1100"/>
      <c r="N47" s="1100"/>
      <c r="O47" s="1100"/>
      <c r="P47" s="1100"/>
      <c r="Q47" s="1100"/>
      <c r="R47" s="1100"/>
      <c r="S47" s="1100"/>
      <c r="T47" s="1100"/>
      <c r="U47" s="1100"/>
      <c r="V47" s="1100"/>
      <c r="W47" s="1100"/>
      <c r="X47" s="1100"/>
      <c r="Y47" s="1100"/>
      <c r="Z47" s="1100"/>
      <c r="AA47" s="1100"/>
      <c r="AB47" s="1100"/>
      <c r="AC47" s="1104"/>
      <c r="AD47" s="1104"/>
      <c r="AE47" s="1010"/>
      <c r="AF47" s="1010"/>
      <c r="AG47" s="1010"/>
      <c r="AH47" s="1104"/>
      <c r="AI47" s="1104"/>
      <c r="AJ47" s="1104"/>
      <c r="AK47" s="1104"/>
      <c r="AL47" s="1006"/>
      <c r="AM47" s="1006"/>
      <c r="AN47" s="1006"/>
      <c r="AO47" s="1024"/>
      <c r="AP47" s="1100"/>
      <c r="AQ47" s="1006"/>
      <c r="AR47" s="1107"/>
      <c r="AS47" s="1107"/>
      <c r="AT47" s="1107"/>
      <c r="AU47" s="1107"/>
      <c r="AV47" s="1107"/>
      <c r="AW47" s="1107"/>
      <c r="AX47" s="1110"/>
      <c r="AY47" s="1111"/>
      <c r="AZ47" s="1111"/>
      <c r="BA47" s="1111"/>
      <c r="BB47" s="957"/>
      <c r="BD47" s="957"/>
      <c r="BE47" s="957"/>
      <c r="BF47" s="957"/>
      <c r="BG47" s="957"/>
    </row>
    <row r="48" spans="1:59" ht="12.75" customHeight="1">
      <c r="A48" s="1106" t="s">
        <v>100</v>
      </c>
      <c r="B48" s="1106"/>
      <c r="C48" s="1235">
        <v>-10</v>
      </c>
      <c r="D48" s="1100">
        <v>-0.044642857142857144</v>
      </c>
      <c r="E48" s="1100"/>
      <c r="F48" s="1100"/>
      <c r="G48" s="621">
        <v>214</v>
      </c>
      <c r="H48" s="621">
        <v>215</v>
      </c>
      <c r="I48" s="621">
        <v>221</v>
      </c>
      <c r="J48" s="621">
        <v>222</v>
      </c>
      <c r="K48" s="621">
        <v>224</v>
      </c>
      <c r="L48" s="621">
        <v>225</v>
      </c>
      <c r="M48" s="621">
        <v>239</v>
      </c>
      <c r="N48" s="621">
        <v>247</v>
      </c>
      <c r="O48" s="621">
        <v>262</v>
      </c>
      <c r="P48" s="621">
        <v>266</v>
      </c>
      <c r="Q48" s="621"/>
      <c r="R48" s="621"/>
      <c r="S48" s="621"/>
      <c r="T48" s="621"/>
      <c r="U48" s="621"/>
      <c r="V48" s="621"/>
      <c r="W48" s="621"/>
      <c r="X48" s="621"/>
      <c r="Y48" s="621"/>
      <c r="Z48" s="621"/>
      <c r="AA48" s="621"/>
      <c r="AB48" s="621"/>
      <c r="AC48" s="610"/>
      <c r="AD48" s="610"/>
      <c r="AE48" s="741"/>
      <c r="AF48" s="741"/>
      <c r="AG48" s="741"/>
      <c r="AH48" s="610"/>
      <c r="AI48" s="610"/>
      <c r="AJ48" s="610"/>
      <c r="AK48" s="610"/>
      <c r="AL48" s="610"/>
      <c r="AM48" s="610">
        <v>214</v>
      </c>
      <c r="AN48" s="610">
        <v>224</v>
      </c>
      <c r="AO48" s="1024">
        <v>-10</v>
      </c>
      <c r="AP48" s="1100">
        <v>-0.044642857142857144</v>
      </c>
      <c r="AQ48" s="1006"/>
      <c r="AR48" s="488">
        <v>222</v>
      </c>
      <c r="AS48" s="488">
        <v>247</v>
      </c>
      <c r="AT48" s="488">
        <v>268</v>
      </c>
      <c r="AU48" s="488">
        <v>203</v>
      </c>
      <c r="AV48" s="488">
        <v>209</v>
      </c>
      <c r="AW48" s="1107"/>
      <c r="AX48" s="1110"/>
      <c r="AY48" s="1111"/>
      <c r="AZ48" s="1111"/>
      <c r="BA48" s="1111"/>
      <c r="BB48" s="957"/>
      <c r="BD48" s="957"/>
      <c r="BE48" s="957"/>
      <c r="BF48" s="957"/>
      <c r="BG48" s="957"/>
    </row>
    <row r="49" spans="1:59" ht="12.75" customHeight="1">
      <c r="A49" s="966"/>
      <c r="B49" s="966"/>
      <c r="C49" s="1006"/>
      <c r="D49" s="1006"/>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6"/>
      <c r="AE49" s="1006"/>
      <c r="AF49" s="1006"/>
      <c r="AG49" s="1006"/>
      <c r="AH49" s="1006"/>
      <c r="AI49" s="1006"/>
      <c r="AJ49" s="1006"/>
      <c r="AK49" s="1006"/>
      <c r="AL49" s="1006"/>
      <c r="AM49" s="1006"/>
      <c r="AN49" s="1006"/>
      <c r="AO49" s="1112"/>
      <c r="AP49" s="1112"/>
      <c r="AQ49" s="1006"/>
      <c r="AR49" s="1006"/>
      <c r="AS49" s="1006"/>
      <c r="AT49" s="1287"/>
      <c r="AU49" s="1006"/>
      <c r="AV49" s="1006"/>
      <c r="AW49" s="1006"/>
      <c r="AX49" s="1006"/>
      <c r="AY49" s="1113"/>
      <c r="AZ49" s="1113"/>
      <c r="BA49" s="1113"/>
      <c r="BB49" s="957"/>
      <c r="BD49" s="957"/>
      <c r="BE49" s="957"/>
      <c r="BF49" s="957"/>
      <c r="BG49" s="957"/>
    </row>
    <row r="50" spans="1:59" ht="18" customHeight="1">
      <c r="A50" s="1114" t="s">
        <v>324</v>
      </c>
      <c r="B50" s="966"/>
      <c r="C50" s="1010"/>
      <c r="D50" s="1010"/>
      <c r="E50" s="1006"/>
      <c r="F50" s="1006"/>
      <c r="G50" s="1006"/>
      <c r="H50" s="1006"/>
      <c r="I50" s="1006"/>
      <c r="J50" s="1006"/>
      <c r="K50" s="1006"/>
      <c r="L50" s="1006"/>
      <c r="M50" s="1006"/>
      <c r="N50" s="1006"/>
      <c r="O50" s="1006"/>
      <c r="P50" s="1006"/>
      <c r="Q50" s="1006"/>
      <c r="R50" s="1006"/>
      <c r="S50" s="1006"/>
      <c r="T50" s="1006"/>
      <c r="U50" s="1006"/>
      <c r="V50" s="1006"/>
      <c r="W50" s="1006"/>
      <c r="X50" s="1006"/>
      <c r="Y50" s="1006"/>
      <c r="Z50" s="1006"/>
      <c r="AA50" s="1006"/>
      <c r="AB50" s="1006"/>
      <c r="AC50" s="1006"/>
      <c r="AD50" s="1006"/>
      <c r="AE50" s="1006"/>
      <c r="AF50" s="1010"/>
      <c r="AG50" s="1010"/>
      <c r="AH50" s="1010"/>
      <c r="AI50" s="1010"/>
      <c r="AJ50" s="1010"/>
      <c r="AK50" s="1010"/>
      <c r="AL50" s="1010"/>
      <c r="AM50" s="1010"/>
      <c r="AN50" s="1010"/>
      <c r="AO50" s="1112"/>
      <c r="AP50" s="1112"/>
      <c r="AQ50" s="1010"/>
      <c r="AR50" s="1010"/>
      <c r="AS50" s="1010"/>
      <c r="AT50" s="1010"/>
      <c r="AU50" s="1010"/>
      <c r="AV50" s="1273"/>
      <c r="AW50" s="1010"/>
      <c r="AX50" s="1010"/>
      <c r="AY50" s="1115"/>
      <c r="AZ50" s="1115"/>
      <c r="BA50" s="1115"/>
      <c r="BB50" s="957"/>
      <c r="BD50" s="957"/>
      <c r="BE50" s="957"/>
      <c r="BF50" s="957"/>
      <c r="BG50" s="957"/>
    </row>
    <row r="51" spans="1:59" ht="12.75" customHeight="1">
      <c r="A51" s="1116"/>
      <c r="B51" s="966"/>
      <c r="C51" s="1010"/>
      <c r="D51" s="1010"/>
      <c r="E51" s="1006"/>
      <c r="F51" s="1006"/>
      <c r="G51" s="1117"/>
      <c r="H51" s="1117"/>
      <c r="I51" s="1006"/>
      <c r="J51" s="1006"/>
      <c r="K51" s="1117"/>
      <c r="L51" s="1117"/>
      <c r="M51" s="1006"/>
      <c r="N51" s="1006"/>
      <c r="O51" s="1006"/>
      <c r="P51" s="1117"/>
      <c r="Q51" s="1006"/>
      <c r="R51" s="1117"/>
      <c r="S51" s="1006"/>
      <c r="T51" s="1117"/>
      <c r="U51" s="1006"/>
      <c r="V51" s="1117"/>
      <c r="W51" s="1006"/>
      <c r="X51" s="1117"/>
      <c r="Y51" s="1006"/>
      <c r="Z51" s="1117"/>
      <c r="AA51" s="1006"/>
      <c r="AB51" s="1006"/>
      <c r="AC51" s="1006"/>
      <c r="AD51" s="1006"/>
      <c r="AE51" s="1006"/>
      <c r="AF51" s="1010"/>
      <c r="AG51" s="1010"/>
      <c r="AH51" s="1010"/>
      <c r="AI51" s="1010"/>
      <c r="AJ51" s="1010"/>
      <c r="AK51" s="1010"/>
      <c r="AL51" s="1010"/>
      <c r="AM51" s="1010"/>
      <c r="AN51" s="1010"/>
      <c r="AO51" s="1112"/>
      <c r="AP51" s="1112"/>
      <c r="AQ51" s="1010"/>
      <c r="AR51" s="1010"/>
      <c r="AS51" s="1010"/>
      <c r="AT51" s="1010"/>
      <c r="AU51" s="1010"/>
      <c r="AV51" s="1010"/>
      <c r="AW51" s="1010"/>
      <c r="AX51" s="1010"/>
      <c r="AY51" s="1115"/>
      <c r="AZ51" s="1115"/>
      <c r="BA51" s="1115"/>
      <c r="BB51" s="957"/>
      <c r="BD51" s="957"/>
      <c r="BE51" s="957"/>
      <c r="BF51" s="957"/>
      <c r="BG51" s="957"/>
    </row>
    <row r="52" spans="1:59" ht="12.75" customHeight="1">
      <c r="A52" s="965"/>
      <c r="B52" s="966"/>
      <c r="C52" s="1445" t="s">
        <v>497</v>
      </c>
      <c r="D52" s="1446"/>
      <c r="E52" s="967"/>
      <c r="F52" s="968"/>
      <c r="G52" s="968"/>
      <c r="I52" s="969"/>
      <c r="J52" s="968"/>
      <c r="K52" s="968"/>
      <c r="M52" s="969"/>
      <c r="N52" s="968"/>
      <c r="O52" s="968"/>
      <c r="Q52" s="969"/>
      <c r="R52" s="968"/>
      <c r="S52" s="968"/>
      <c r="U52" s="969"/>
      <c r="V52" s="968"/>
      <c r="W52" s="968"/>
      <c r="Y52" s="969"/>
      <c r="AA52" s="968"/>
      <c r="AB52" s="968"/>
      <c r="AC52" s="969"/>
      <c r="AD52" s="968"/>
      <c r="AE52" s="968"/>
      <c r="AF52" s="968"/>
      <c r="AG52" s="968"/>
      <c r="AH52" s="970"/>
      <c r="AI52" s="969"/>
      <c r="AJ52" s="969"/>
      <c r="AK52" s="969"/>
      <c r="AL52" s="971"/>
      <c r="AM52" s="725" t="s">
        <v>406</v>
      </c>
      <c r="AN52" s="711"/>
      <c r="AO52" s="711" t="s">
        <v>480</v>
      </c>
      <c r="AP52" s="712"/>
      <c r="AQ52" s="972"/>
      <c r="AR52" s="973"/>
      <c r="AS52" s="973"/>
      <c r="AT52" s="973"/>
      <c r="AU52" s="973"/>
      <c r="AV52" s="973"/>
      <c r="AW52" s="1118"/>
      <c r="AX52" s="1119"/>
      <c r="AY52" s="973"/>
      <c r="AZ52" s="973"/>
      <c r="BA52" s="973"/>
      <c r="BB52" s="976"/>
      <c r="BD52" s="957"/>
      <c r="BE52" s="957"/>
      <c r="BF52" s="957"/>
      <c r="BG52" s="957"/>
    </row>
    <row r="53" spans="1:59" ht="12.75" customHeight="1">
      <c r="A53" s="965" t="s">
        <v>107</v>
      </c>
      <c r="B53" s="966"/>
      <c r="C53" s="1447" t="s">
        <v>41</v>
      </c>
      <c r="D53" s="1448"/>
      <c r="E53" s="977"/>
      <c r="F53" s="978"/>
      <c r="G53" s="978" t="s">
        <v>430</v>
      </c>
      <c r="H53" s="978" t="s">
        <v>429</v>
      </c>
      <c r="I53" s="979" t="s">
        <v>427</v>
      </c>
      <c r="J53" s="978" t="s">
        <v>362</v>
      </c>
      <c r="K53" s="978" t="s">
        <v>363</v>
      </c>
      <c r="L53" s="978" t="s">
        <v>364</v>
      </c>
      <c r="M53" s="979" t="s">
        <v>365</v>
      </c>
      <c r="N53" s="978" t="s">
        <v>277</v>
      </c>
      <c r="O53" s="978" t="s">
        <v>278</v>
      </c>
      <c r="P53" s="978" t="s">
        <v>279</v>
      </c>
      <c r="Q53" s="979" t="s">
        <v>276</v>
      </c>
      <c r="R53" s="978" t="s">
        <v>222</v>
      </c>
      <c r="S53" s="978" t="s">
        <v>223</v>
      </c>
      <c r="T53" s="978" t="s">
        <v>224</v>
      </c>
      <c r="U53" s="979" t="s">
        <v>225</v>
      </c>
      <c r="V53" s="978" t="s">
        <v>141</v>
      </c>
      <c r="W53" s="978" t="s">
        <v>140</v>
      </c>
      <c r="X53" s="978" t="s">
        <v>139</v>
      </c>
      <c r="Y53" s="979" t="s">
        <v>138</v>
      </c>
      <c r="Z53" s="978" t="s">
        <v>91</v>
      </c>
      <c r="AA53" s="978" t="s">
        <v>92</v>
      </c>
      <c r="AB53" s="978" t="s">
        <v>93</v>
      </c>
      <c r="AC53" s="979" t="s">
        <v>32</v>
      </c>
      <c r="AD53" s="978" t="s">
        <v>33</v>
      </c>
      <c r="AE53" s="978" t="s">
        <v>34</v>
      </c>
      <c r="AF53" s="978" t="s">
        <v>35</v>
      </c>
      <c r="AG53" s="978" t="s">
        <v>36</v>
      </c>
      <c r="AH53" s="980" t="s">
        <v>37</v>
      </c>
      <c r="AI53" s="979" t="s">
        <v>38</v>
      </c>
      <c r="AJ53" s="979" t="s">
        <v>39</v>
      </c>
      <c r="AK53" s="979" t="s">
        <v>40</v>
      </c>
      <c r="AL53" s="967"/>
      <c r="AM53" s="21" t="s">
        <v>430</v>
      </c>
      <c r="AN53" s="21" t="s">
        <v>363</v>
      </c>
      <c r="AO53" s="1435" t="s">
        <v>41</v>
      </c>
      <c r="AP53" s="1436"/>
      <c r="AQ53" s="1120"/>
      <c r="AR53" s="980" t="s">
        <v>367</v>
      </c>
      <c r="AS53" s="980" t="s">
        <v>285</v>
      </c>
      <c r="AT53" s="980" t="s">
        <v>143</v>
      </c>
      <c r="AU53" s="980" t="s">
        <v>142</v>
      </c>
      <c r="AV53" s="980" t="s">
        <v>45</v>
      </c>
      <c r="AW53" s="980" t="s">
        <v>42</v>
      </c>
      <c r="AX53" s="982" t="s">
        <v>43</v>
      </c>
      <c r="AY53" s="982" t="s">
        <v>165</v>
      </c>
      <c r="AZ53" s="982" t="s">
        <v>166</v>
      </c>
      <c r="BA53" s="982" t="s">
        <v>167</v>
      </c>
      <c r="BB53" s="976"/>
      <c r="BD53" s="957"/>
      <c r="BE53" s="957"/>
      <c r="BF53" s="957"/>
      <c r="BG53" s="957"/>
    </row>
    <row r="54" spans="1:59" ht="12.75" customHeight="1">
      <c r="A54" s="1121"/>
      <c r="B54" s="1006" t="s">
        <v>4</v>
      </c>
      <c r="C54" s="1122">
        <v>-35171</v>
      </c>
      <c r="D54" s="1123">
        <v>-0.46002825228241817</v>
      </c>
      <c r="E54" s="1005"/>
      <c r="F54" s="1124"/>
      <c r="G54" s="1124">
        <v>41283</v>
      </c>
      <c r="H54" s="1124">
        <v>31264</v>
      </c>
      <c r="I54" s="1125">
        <v>32910</v>
      </c>
      <c r="J54" s="1124">
        <v>56814</v>
      </c>
      <c r="K54" s="1124">
        <v>76454</v>
      </c>
      <c r="L54" s="1124">
        <v>35445</v>
      </c>
      <c r="M54" s="1125">
        <v>35624</v>
      </c>
      <c r="N54" s="1124">
        <v>71006</v>
      </c>
      <c r="O54" s="1124">
        <v>56942</v>
      </c>
      <c r="P54" s="1124">
        <v>42491</v>
      </c>
      <c r="Q54" s="1124">
        <v>61867</v>
      </c>
      <c r="R54" s="1124">
        <v>88632</v>
      </c>
      <c r="S54" s="1126">
        <v>109404</v>
      </c>
      <c r="T54" s="1124">
        <v>49909</v>
      </c>
      <c r="U54" s="1125">
        <v>53057</v>
      </c>
      <c r="V54" s="1124">
        <v>32806</v>
      </c>
      <c r="W54" s="1126">
        <v>58040</v>
      </c>
      <c r="X54" s="1124">
        <v>27314</v>
      </c>
      <c r="Y54" s="1125">
        <v>30054</v>
      </c>
      <c r="Z54" s="1126">
        <v>25033</v>
      </c>
      <c r="AA54" s="1126">
        <v>12639</v>
      </c>
      <c r="AB54" s="1124">
        <v>23461</v>
      </c>
      <c r="AC54" s="1125">
        <v>34352</v>
      </c>
      <c r="AD54" s="1036">
        <v>31944</v>
      </c>
      <c r="AE54" s="1036">
        <v>42952</v>
      </c>
      <c r="AF54" s="1036">
        <v>39210</v>
      </c>
      <c r="AG54" s="1036">
        <v>62549</v>
      </c>
      <c r="AH54" s="1079">
        <v>57382</v>
      </c>
      <c r="AI54" s="1017">
        <v>48897</v>
      </c>
      <c r="AJ54" s="1017">
        <v>38533</v>
      </c>
      <c r="AK54" s="1035">
        <v>42750</v>
      </c>
      <c r="AL54" s="1005"/>
      <c r="AM54" s="1019">
        <v>105457</v>
      </c>
      <c r="AN54" s="1019">
        <v>147523</v>
      </c>
      <c r="AO54" s="1354">
        <v>-42066</v>
      </c>
      <c r="AP54" s="1127">
        <v>-0.2851487564650936</v>
      </c>
      <c r="AQ54" s="1010"/>
      <c r="AR54" s="1128">
        <v>204337</v>
      </c>
      <c r="AS54" s="1128">
        <v>232306</v>
      </c>
      <c r="AT54" s="1128">
        <v>338520</v>
      </c>
      <c r="AU54" s="1128">
        <v>177581</v>
      </c>
      <c r="AV54" s="1128">
        <v>122850</v>
      </c>
      <c r="AW54" s="1079">
        <v>176655</v>
      </c>
      <c r="AX54" s="1129">
        <v>187562</v>
      </c>
      <c r="AY54" s="1083">
        <v>150470</v>
      </c>
      <c r="AZ54" s="1083">
        <v>95559</v>
      </c>
      <c r="BA54" s="1083">
        <v>211758</v>
      </c>
      <c r="BB54" s="976"/>
      <c r="BD54" s="957"/>
      <c r="BE54" s="957"/>
      <c r="BF54" s="957"/>
      <c r="BG54" s="957"/>
    </row>
    <row r="55" spans="1:59" ht="12.75" customHeight="1">
      <c r="A55" s="1010"/>
      <c r="B55" s="1006" t="s">
        <v>90</v>
      </c>
      <c r="C55" s="1122">
        <v>-16439</v>
      </c>
      <c r="D55" s="1123">
        <v>-0.335674759561391</v>
      </c>
      <c r="E55" s="1130"/>
      <c r="F55" s="1124"/>
      <c r="G55" s="1124">
        <v>32534</v>
      </c>
      <c r="H55" s="1124">
        <v>27997</v>
      </c>
      <c r="I55" s="1125">
        <v>25241</v>
      </c>
      <c r="J55" s="1124">
        <v>39497</v>
      </c>
      <c r="K55" s="1124">
        <v>48973</v>
      </c>
      <c r="L55" s="1124">
        <v>33948</v>
      </c>
      <c r="M55" s="1125">
        <v>30690</v>
      </c>
      <c r="N55" s="1124">
        <v>51052</v>
      </c>
      <c r="O55" s="1124">
        <v>39039</v>
      </c>
      <c r="P55" s="1124">
        <v>34722</v>
      </c>
      <c r="Q55" s="1125">
        <v>17435</v>
      </c>
      <c r="R55" s="1124">
        <v>49341</v>
      </c>
      <c r="S55" s="1124">
        <v>61013</v>
      </c>
      <c r="T55" s="1124">
        <v>32590</v>
      </c>
      <c r="U55" s="1125">
        <v>31711</v>
      </c>
      <c r="V55" s="1124">
        <v>22693</v>
      </c>
      <c r="W55" s="1124">
        <v>37922</v>
      </c>
      <c r="X55" s="1124">
        <v>19480</v>
      </c>
      <c r="Y55" s="1125">
        <v>22187</v>
      </c>
      <c r="Z55" s="1124">
        <v>15783</v>
      </c>
      <c r="AA55" s="1124">
        <v>21597</v>
      </c>
      <c r="AB55" s="1124">
        <v>20639</v>
      </c>
      <c r="AC55" s="1125">
        <v>27571</v>
      </c>
      <c r="AD55" s="1036">
        <v>24147</v>
      </c>
      <c r="AE55" s="1036">
        <v>86348</v>
      </c>
      <c r="AF55" s="1036">
        <v>72982</v>
      </c>
      <c r="AG55" s="1036">
        <v>106349</v>
      </c>
      <c r="AH55" s="1037">
        <v>100905</v>
      </c>
      <c r="AI55" s="1017">
        <v>75317</v>
      </c>
      <c r="AJ55" s="1017">
        <v>70703</v>
      </c>
      <c r="AK55" s="1017">
        <v>91522</v>
      </c>
      <c r="AL55" s="1005"/>
      <c r="AM55" s="1064">
        <v>85772</v>
      </c>
      <c r="AN55" s="1019">
        <v>113611</v>
      </c>
      <c r="AO55" s="661">
        <v>-27839</v>
      </c>
      <c r="AP55" s="1132">
        <v>-0.24503789245759652</v>
      </c>
      <c r="AQ55" s="1010"/>
      <c r="AR55" s="1128">
        <v>153108</v>
      </c>
      <c r="AS55" s="1128">
        <v>165492</v>
      </c>
      <c r="AT55" s="1128">
        <v>201288</v>
      </c>
      <c r="AU55" s="1128">
        <v>102282</v>
      </c>
      <c r="AV55" s="1128">
        <v>102599</v>
      </c>
      <c r="AW55" s="1037">
        <v>120138</v>
      </c>
      <c r="AX55" s="1133">
        <v>125171</v>
      </c>
      <c r="AY55" s="1039">
        <v>105485</v>
      </c>
      <c r="AZ55" s="1039">
        <v>67435</v>
      </c>
      <c r="BA55" s="1039">
        <v>154490</v>
      </c>
      <c r="BB55" s="976"/>
      <c r="BD55" s="957"/>
      <c r="BE55" s="957"/>
      <c r="BF55" s="957"/>
      <c r="BG55" s="957"/>
    </row>
    <row r="56" spans="1:59" ht="24.75" customHeight="1">
      <c r="A56" s="1010"/>
      <c r="B56" s="1091" t="s">
        <v>216</v>
      </c>
      <c r="C56" s="1122">
        <v>-18732</v>
      </c>
      <c r="D56" s="1123">
        <v>-0.681634583894327</v>
      </c>
      <c r="E56" s="1130"/>
      <c r="F56" s="1124"/>
      <c r="G56" s="1124">
        <v>8749</v>
      </c>
      <c r="H56" s="1124">
        <v>3267</v>
      </c>
      <c r="I56" s="1125">
        <v>7669</v>
      </c>
      <c r="J56" s="1124">
        <v>17317</v>
      </c>
      <c r="K56" s="1124">
        <v>27481</v>
      </c>
      <c r="L56" s="1124">
        <v>1497</v>
      </c>
      <c r="M56" s="1125">
        <v>4934</v>
      </c>
      <c r="N56" s="1124">
        <v>19954</v>
      </c>
      <c r="O56" s="1124">
        <v>17903</v>
      </c>
      <c r="P56" s="1124">
        <v>7769</v>
      </c>
      <c r="Q56" s="1125">
        <v>44432</v>
      </c>
      <c r="R56" s="1124">
        <v>39291</v>
      </c>
      <c r="S56" s="1124">
        <v>48391</v>
      </c>
      <c r="T56" s="1124">
        <v>17319</v>
      </c>
      <c r="U56" s="1125">
        <v>21346</v>
      </c>
      <c r="V56" s="1124">
        <v>10113</v>
      </c>
      <c r="W56" s="1124">
        <v>20118</v>
      </c>
      <c r="X56" s="1124">
        <v>7834</v>
      </c>
      <c r="Y56" s="1125">
        <v>7867</v>
      </c>
      <c r="Z56" s="1124">
        <v>9250</v>
      </c>
      <c r="AA56" s="1124">
        <v>-8958</v>
      </c>
      <c r="AB56" s="1124">
        <v>2822</v>
      </c>
      <c r="AC56" s="1125">
        <v>6781</v>
      </c>
      <c r="AD56" s="1036">
        <v>7797</v>
      </c>
      <c r="AE56" s="1036">
        <v>23235</v>
      </c>
      <c r="AF56" s="1036">
        <v>16089</v>
      </c>
      <c r="AG56" s="1036">
        <v>48674</v>
      </c>
      <c r="AH56" s="1037">
        <v>29246</v>
      </c>
      <c r="AI56" s="1017">
        <v>26110</v>
      </c>
      <c r="AJ56" s="1017">
        <v>22330</v>
      </c>
      <c r="AK56" s="1017">
        <v>33584</v>
      </c>
      <c r="AL56" s="1005"/>
      <c r="AM56" s="1064">
        <v>19685</v>
      </c>
      <c r="AN56" s="1019">
        <v>33912</v>
      </c>
      <c r="AO56" s="1131">
        <v>-14227</v>
      </c>
      <c r="AP56" s="1132">
        <v>-0.41952701108752066</v>
      </c>
      <c r="AQ56" s="1010"/>
      <c r="AR56" s="1128">
        <v>51229</v>
      </c>
      <c r="AS56" s="1128">
        <v>66814</v>
      </c>
      <c r="AT56" s="1128">
        <v>137232</v>
      </c>
      <c r="AU56" s="1128">
        <v>75299</v>
      </c>
      <c r="AV56" s="1128">
        <v>20251</v>
      </c>
      <c r="AW56" s="1134">
        <v>56517</v>
      </c>
      <c r="AX56" s="1135">
        <v>62391</v>
      </c>
      <c r="AY56" s="1136">
        <v>44985</v>
      </c>
      <c r="AZ56" s="1136">
        <v>28124</v>
      </c>
      <c r="BA56" s="1136">
        <v>57268</v>
      </c>
      <c r="BB56" s="976"/>
      <c r="BD56" s="957"/>
      <c r="BE56" s="957"/>
      <c r="BF56" s="957"/>
      <c r="BG56" s="957"/>
    </row>
    <row r="57" spans="1:59" ht="24.75" customHeight="1">
      <c r="A57" s="1010"/>
      <c r="B57" s="1091" t="s">
        <v>457</v>
      </c>
      <c r="C57" s="1137">
        <v>-18897</v>
      </c>
      <c r="D57" s="1138">
        <v>-0.759220570510245</v>
      </c>
      <c r="E57" s="1130"/>
      <c r="F57" s="1018"/>
      <c r="G57" s="1018">
        <v>5993</v>
      </c>
      <c r="H57" s="1018">
        <v>1495</v>
      </c>
      <c r="I57" s="1139">
        <v>5308</v>
      </c>
      <c r="J57" s="1018">
        <v>15038</v>
      </c>
      <c r="K57" s="1018">
        <v>24890</v>
      </c>
      <c r="L57" s="1339">
        <v>-1021</v>
      </c>
      <c r="M57" s="1139">
        <v>2020</v>
      </c>
      <c r="N57" s="1018">
        <v>16847</v>
      </c>
      <c r="O57" s="1018">
        <v>15288</v>
      </c>
      <c r="P57" s="1018">
        <v>4665</v>
      </c>
      <c r="Q57" s="1139">
        <v>41391</v>
      </c>
      <c r="R57" s="1018">
        <v>37731</v>
      </c>
      <c r="S57" s="1018">
        <v>46595</v>
      </c>
      <c r="T57" s="1018"/>
      <c r="U57" s="1139"/>
      <c r="V57" s="1018"/>
      <c r="W57" s="1018"/>
      <c r="X57" s="1018"/>
      <c r="Y57" s="1139"/>
      <c r="Z57" s="1018"/>
      <c r="AA57" s="1018"/>
      <c r="AB57" s="1018"/>
      <c r="AC57" s="1139"/>
      <c r="AD57" s="1016"/>
      <c r="AE57" s="1016"/>
      <c r="AF57" s="1016"/>
      <c r="AG57" s="1016"/>
      <c r="AH57" s="1134"/>
      <c r="AI57" s="1046"/>
      <c r="AJ57" s="1046"/>
      <c r="AK57" s="1046"/>
      <c r="AL57" s="1005"/>
      <c r="AM57" s="1018">
        <v>12796</v>
      </c>
      <c r="AN57" s="1018">
        <v>25889</v>
      </c>
      <c r="AO57" s="1140">
        <v>-13093</v>
      </c>
      <c r="AP57" s="1138">
        <v>-0.5057360268840048</v>
      </c>
      <c r="AQ57" s="1010"/>
      <c r="AR57" s="1141">
        <v>40927</v>
      </c>
      <c r="AS57" s="1141">
        <v>54947</v>
      </c>
      <c r="AT57" s="1141">
        <v>126329</v>
      </c>
      <c r="AU57" s="1141">
        <v>65726</v>
      </c>
      <c r="AV57" s="1141">
        <v>20251</v>
      </c>
      <c r="AW57" s="1036"/>
      <c r="AX57" s="1036"/>
      <c r="AY57" s="1050"/>
      <c r="AZ57" s="1050"/>
      <c r="BA57" s="1050"/>
      <c r="BB57" s="957"/>
      <c r="BD57" s="957"/>
      <c r="BE57" s="957"/>
      <c r="BF57" s="957"/>
      <c r="BG57" s="957"/>
    </row>
    <row r="58" spans="1:59" ht="12.75" customHeight="1">
      <c r="A58" s="1010"/>
      <c r="B58" s="1006"/>
      <c r="C58" s="1142"/>
      <c r="D58" s="1110"/>
      <c r="E58" s="1110"/>
      <c r="F58" s="1110"/>
      <c r="G58" s="966"/>
      <c r="H58" s="966"/>
      <c r="I58" s="1006"/>
      <c r="J58" s="1110"/>
      <c r="K58" s="966"/>
      <c r="L58" s="966"/>
      <c r="M58" s="1006"/>
      <c r="N58" s="1110"/>
      <c r="O58" s="1110"/>
      <c r="P58" s="966"/>
      <c r="Q58" s="1006"/>
      <c r="R58" s="1110"/>
      <c r="S58" s="1110"/>
      <c r="T58" s="1110"/>
      <c r="U58" s="1006"/>
      <c r="V58" s="1110"/>
      <c r="W58" s="1110"/>
      <c r="X58" s="1110"/>
      <c r="Y58" s="1006"/>
      <c r="Z58" s="1110"/>
      <c r="AA58" s="1110"/>
      <c r="AB58" s="1110"/>
      <c r="AC58" s="1006"/>
      <c r="AD58" s="1010"/>
      <c r="AE58" s="1010"/>
      <c r="AF58" s="1010"/>
      <c r="AG58" s="1010"/>
      <c r="AH58" s="1010"/>
      <c r="AI58" s="1010"/>
      <c r="AJ58" s="1010"/>
      <c r="AK58" s="1010"/>
      <c r="AL58" s="1006"/>
      <c r="AM58" s="1110"/>
      <c r="AN58" s="1110"/>
      <c r="AO58" s="1143"/>
      <c r="AP58" s="1144"/>
      <c r="AQ58" s="1006"/>
      <c r="AR58" s="1006"/>
      <c r="AS58" s="1006"/>
      <c r="AT58" s="1006"/>
      <c r="AU58" s="1006"/>
      <c r="AV58" s="1006"/>
      <c r="AW58" s="1010"/>
      <c r="AX58" s="1010"/>
      <c r="AY58" s="1050"/>
      <c r="AZ58" s="1050"/>
      <c r="BA58" s="1050"/>
      <c r="BB58" s="957"/>
      <c r="BD58" s="957"/>
      <c r="BE58" s="957"/>
      <c r="BF58" s="957"/>
      <c r="BG58" s="957"/>
    </row>
    <row r="59" spans="1:59" ht="12.75" customHeight="1">
      <c r="A59" s="1010"/>
      <c r="B59" s="1105" t="s">
        <v>85</v>
      </c>
      <c r="C59" s="1145">
        <v>11.7566115907527</v>
      </c>
      <c r="D59" s="1110"/>
      <c r="E59" s="1110"/>
      <c r="F59" s="1110"/>
      <c r="G59" s="1110">
        <v>0.26662306518421625</v>
      </c>
      <c r="H59" s="1110">
        <v>0.3531537871033777</v>
      </c>
      <c r="I59" s="1110">
        <v>0.29790337283500457</v>
      </c>
      <c r="J59" s="1110">
        <v>0.17038054000774458</v>
      </c>
      <c r="K59" s="1110">
        <v>0.14905694927668925</v>
      </c>
      <c r="L59" s="1110">
        <v>0.3457469318662717</v>
      </c>
      <c r="M59" s="1110">
        <v>0.33334269032113184</v>
      </c>
      <c r="N59" s="1110">
        <v>0.18522378390558544</v>
      </c>
      <c r="O59" s="1110">
        <v>0.19358294404832987</v>
      </c>
      <c r="P59" s="1110">
        <v>0.3221623402602904</v>
      </c>
      <c r="Q59" s="1110">
        <v>-0.165839623708924</v>
      </c>
      <c r="R59" s="1110">
        <v>0.1049846556548425</v>
      </c>
      <c r="S59" s="1110">
        <v>0.10878030053745749</v>
      </c>
      <c r="T59" s="1110">
        <v>0.1807689995792342</v>
      </c>
      <c r="U59" s="1110">
        <v>0.15194978984865334</v>
      </c>
      <c r="V59" s="1110">
        <v>0.1537803312755944</v>
      </c>
      <c r="W59" s="1110">
        <v>0.10480982581197477</v>
      </c>
      <c r="X59" s="1110">
        <v>0.15381132075471698</v>
      </c>
      <c r="Y59" s="1110">
        <v>0.14983030545018966</v>
      </c>
      <c r="Z59" s="1110">
        <v>0.11488834738145648</v>
      </c>
      <c r="AA59" s="1110">
        <v>0.45581137748239575</v>
      </c>
      <c r="AB59" s="1110">
        <v>0.2857081965815609</v>
      </c>
      <c r="AC59" s="1110">
        <v>0.2197543083372147</v>
      </c>
      <c r="AD59" s="1110">
        <v>0.22119959929877286</v>
      </c>
      <c r="AE59" s="1107">
        <v>0.22941514650995137</v>
      </c>
      <c r="AF59" s="1107">
        <v>0.30967430476810637</v>
      </c>
      <c r="AG59" s="1107">
        <v>0.16900000000000004</v>
      </c>
      <c r="AH59" s="1107">
        <v>0.21100000000000008</v>
      </c>
      <c r="AI59" s="1107">
        <v>0.20399999999999996</v>
      </c>
      <c r="AJ59" s="1107">
        <v>0.249</v>
      </c>
      <c r="AK59" s="1107">
        <v>0.17899999999999994</v>
      </c>
      <c r="AL59" s="1006"/>
      <c r="AM59" s="1110">
        <v>0.3020377973960951</v>
      </c>
      <c r="AN59" s="1110">
        <v>0.240803129003613</v>
      </c>
      <c r="AO59" s="1103">
        <v>6.123466839248209</v>
      </c>
      <c r="AP59" s="1144"/>
      <c r="AQ59" s="1006"/>
      <c r="AR59" s="1107">
        <v>0.221232571683053</v>
      </c>
      <c r="AS59" s="1107">
        <v>0.21888371372241786</v>
      </c>
      <c r="AT59" s="1107">
        <v>0.16158277206664304</v>
      </c>
      <c r="AU59" s="1107">
        <v>0.15224601731041046</v>
      </c>
      <c r="AV59" s="1107">
        <v>0.2546764346764347</v>
      </c>
      <c r="AW59" s="1107">
        <v>0.1641504627664091</v>
      </c>
      <c r="AX59" s="1107">
        <v>0.13159381964363784</v>
      </c>
      <c r="AY59" s="1105">
        <v>0.13831328504020735</v>
      </c>
      <c r="AZ59" s="1105">
        <v>0.13580091880408962</v>
      </c>
      <c r="BA59" s="1105">
        <v>0.10299999999999998</v>
      </c>
      <c r="BB59" s="957"/>
      <c r="BD59" s="957"/>
      <c r="BE59" s="957"/>
      <c r="BF59" s="957"/>
      <c r="BG59" s="957"/>
    </row>
    <row r="60" spans="1:59" ht="12.75" customHeight="1">
      <c r="A60" s="1010"/>
      <c r="B60" s="1105" t="s">
        <v>86</v>
      </c>
      <c r="C60" s="1145">
        <v>14.751746721475822</v>
      </c>
      <c r="D60" s="1110"/>
      <c r="E60" s="1110"/>
      <c r="F60" s="1110"/>
      <c r="G60" s="1110">
        <v>0.7880725722452341</v>
      </c>
      <c r="H60" s="1110">
        <v>0.895502814738997</v>
      </c>
      <c r="I60" s="1110">
        <v>0.7669705256760863</v>
      </c>
      <c r="J60" s="1110">
        <v>0.6951983665997817</v>
      </c>
      <c r="K60" s="1110">
        <v>0.6405551050304759</v>
      </c>
      <c r="L60" s="1110">
        <v>0.9577655522640711</v>
      </c>
      <c r="M60" s="1110">
        <v>0.861497866606782</v>
      </c>
      <c r="N60" s="1110">
        <v>0.7189814945215898</v>
      </c>
      <c r="O60" s="1110">
        <v>0.6855923571353307</v>
      </c>
      <c r="P60" s="1110">
        <v>0.8171612812124921</v>
      </c>
      <c r="Q60" s="1110">
        <v>0.28181421436306914</v>
      </c>
      <c r="R60" s="1110">
        <v>0.556695098835635</v>
      </c>
      <c r="S60" s="1110">
        <v>0.5576852765895214</v>
      </c>
      <c r="T60" s="1110">
        <v>0.6529884389589052</v>
      </c>
      <c r="U60" s="1110">
        <v>0.5976779689767608</v>
      </c>
      <c r="V60" s="1110">
        <v>0.6935089542204022</v>
      </c>
      <c r="W60" s="1110">
        <v>0.6625434596502262</v>
      </c>
      <c r="X60" s="1110">
        <v>0.7350943396226415</v>
      </c>
      <c r="Y60" s="1110">
        <v>0.7382378385572635</v>
      </c>
      <c r="Z60" s="1110">
        <v>0.6304877561618664</v>
      </c>
      <c r="AA60" s="1110">
        <v>1.708758604319962</v>
      </c>
      <c r="AB60" s="1110">
        <v>0.8797152721537871</v>
      </c>
      <c r="AC60" s="1110">
        <v>0.8026024685607824</v>
      </c>
      <c r="AD60" s="1110">
        <v>0.7559166040570999</v>
      </c>
      <c r="AE60" s="1107">
        <v>0.7879689367876405</v>
      </c>
      <c r="AF60" s="1107">
        <v>0.8193688181338483</v>
      </c>
      <c r="AG60" s="1107">
        <v>0.686</v>
      </c>
      <c r="AH60" s="1107">
        <v>0.775</v>
      </c>
      <c r="AI60" s="1107">
        <v>0.743</v>
      </c>
      <c r="AJ60" s="1107">
        <v>0.76</v>
      </c>
      <c r="AK60" s="1107">
        <v>0.732</v>
      </c>
      <c r="AL60" s="1006"/>
      <c r="AM60" s="1110">
        <v>0.8133362413116246</v>
      </c>
      <c r="AN60" s="1110">
        <v>0.7701239806674214</v>
      </c>
      <c r="AO60" s="1103">
        <v>4.321226064420324</v>
      </c>
      <c r="AP60" s="1144"/>
      <c r="AQ60" s="1006"/>
      <c r="AR60" s="1107">
        <v>0.7492916114066469</v>
      </c>
      <c r="AS60" s="1107">
        <v>0.7123879710381996</v>
      </c>
      <c r="AT60" s="1107">
        <v>0.5946118397731301</v>
      </c>
      <c r="AU60" s="1107">
        <v>0.5759737809788209</v>
      </c>
      <c r="AV60" s="1107">
        <v>0.8351566951566951</v>
      </c>
      <c r="AW60" s="1107">
        <v>0.6800713254648892</v>
      </c>
      <c r="AX60" s="1107">
        <v>0.6673579936234418</v>
      </c>
      <c r="AY60" s="1105">
        <v>0.7010367515119292</v>
      </c>
      <c r="AZ60" s="1105">
        <v>0.7056896786278634</v>
      </c>
      <c r="BA60" s="1105">
        <v>0.73</v>
      </c>
      <c r="BB60" s="957"/>
      <c r="BD60" s="957"/>
      <c r="BE60" s="957"/>
      <c r="BF60" s="957"/>
      <c r="BG60" s="957"/>
    </row>
    <row r="61" spans="1:53" ht="12.75" customHeight="1">
      <c r="A61" s="1010"/>
      <c r="B61" s="1105" t="s">
        <v>215</v>
      </c>
      <c r="C61" s="1145">
        <v>-14.751746721475826</v>
      </c>
      <c r="D61" s="1110"/>
      <c r="E61" s="1110"/>
      <c r="F61" s="1110"/>
      <c r="G61" s="1110">
        <v>0.2119274277547659</v>
      </c>
      <c r="H61" s="1110">
        <v>0.10449718526100307</v>
      </c>
      <c r="I61" s="1110">
        <v>0.23302947432391372</v>
      </c>
      <c r="J61" s="1110">
        <v>0.30480163340021826</v>
      </c>
      <c r="K61" s="1110">
        <v>0.35944489496952414</v>
      </c>
      <c r="L61" s="1110">
        <v>0.0422344477359289</v>
      </c>
      <c r="M61" s="1110">
        <v>0.13850213339321807</v>
      </c>
      <c r="N61" s="1110">
        <v>0.2810185054784103</v>
      </c>
      <c r="O61" s="1110">
        <v>0.3144076428646693</v>
      </c>
      <c r="P61" s="1110">
        <v>0.18283871878750793</v>
      </c>
      <c r="Q61" s="1110">
        <v>0.7181857856369308</v>
      </c>
      <c r="R61" s="1110">
        <v>0.443304901164365</v>
      </c>
      <c r="S61" s="1110">
        <v>0.4423147234104786</v>
      </c>
      <c r="T61" s="1110">
        <v>0.3470115610410948</v>
      </c>
      <c r="U61" s="1110">
        <v>0.40232203102323916</v>
      </c>
      <c r="V61" s="1110">
        <v>0.30649104577959785</v>
      </c>
      <c r="W61" s="1110">
        <v>0.33745654034977374</v>
      </c>
      <c r="X61" s="1110">
        <v>0.26490566037735847</v>
      </c>
      <c r="Y61" s="1110">
        <v>0.2617621614427364</v>
      </c>
      <c r="Z61" s="1110">
        <v>0.36951224383813364</v>
      </c>
      <c r="AA61" s="1110">
        <v>-0.7087586043199621</v>
      </c>
      <c r="AB61" s="1110">
        <v>0.12028472784621286</v>
      </c>
      <c r="AC61" s="1110">
        <v>0.1973975314392175</v>
      </c>
      <c r="AD61" s="1110">
        <v>0.24408339594290007</v>
      </c>
      <c r="AE61" s="1107">
        <v>0.2120310632123596</v>
      </c>
      <c r="AF61" s="1107">
        <v>0.18063118186615174</v>
      </c>
      <c r="AG61" s="1107">
        <v>0.31399999999999995</v>
      </c>
      <c r="AH61" s="1107">
        <v>0.225</v>
      </c>
      <c r="AI61" s="1107">
        <v>0.257</v>
      </c>
      <c r="AJ61" s="1107">
        <v>0.24</v>
      </c>
      <c r="AK61" s="1107">
        <v>0.268</v>
      </c>
      <c r="AL61" s="1006"/>
      <c r="AM61" s="1110">
        <v>0.18666375868837537</v>
      </c>
      <c r="AN61" s="1110">
        <v>0.22987601933257865</v>
      </c>
      <c r="AO61" s="1103">
        <v>-4.321226064420328</v>
      </c>
      <c r="AP61" s="1144"/>
      <c r="AQ61" s="1006"/>
      <c r="AR61" s="1107">
        <v>0.25070838859335315</v>
      </c>
      <c r="AS61" s="1107">
        <v>0.2876120289618004</v>
      </c>
      <c r="AT61" s="1107">
        <v>0.4053881602268699</v>
      </c>
      <c r="AU61" s="1107">
        <v>0.42402621902117904</v>
      </c>
      <c r="AV61" s="1107">
        <v>0.16484330484330484</v>
      </c>
      <c r="AW61" s="1107">
        <v>0.3199286745351108</v>
      </c>
      <c r="AX61" s="1107">
        <v>0.33264200637655816</v>
      </c>
      <c r="AY61" s="1105">
        <v>0.2989632484880707</v>
      </c>
      <c r="AZ61" s="1105">
        <v>0.2943103213721366</v>
      </c>
      <c r="BA61" s="1105">
        <v>0.27</v>
      </c>
    </row>
    <row r="62" spans="1:53" ht="12.75" customHeight="1">
      <c r="A62" s="1010"/>
      <c r="B62" s="1105"/>
      <c r="C62" s="1145"/>
      <c r="D62" s="1110"/>
      <c r="E62" s="1110"/>
      <c r="F62" s="1110"/>
      <c r="G62" s="1110"/>
      <c r="H62" s="1110"/>
      <c r="I62" s="1110"/>
      <c r="J62" s="1110"/>
      <c r="K62" s="1110"/>
      <c r="L62" s="1110"/>
      <c r="M62" s="1110"/>
      <c r="N62" s="1110"/>
      <c r="O62" s="1110"/>
      <c r="P62" s="1110"/>
      <c r="Q62" s="1110"/>
      <c r="R62" s="1110"/>
      <c r="S62" s="1110"/>
      <c r="T62" s="1110"/>
      <c r="U62" s="1110"/>
      <c r="V62" s="1110"/>
      <c r="W62" s="1110"/>
      <c r="X62" s="1110"/>
      <c r="Y62" s="1110"/>
      <c r="Z62" s="1110"/>
      <c r="AA62" s="1110"/>
      <c r="AB62" s="1110"/>
      <c r="AC62" s="1110"/>
      <c r="AD62" s="1110"/>
      <c r="AE62" s="1107"/>
      <c r="AF62" s="1107"/>
      <c r="AG62" s="1107"/>
      <c r="AH62" s="1107"/>
      <c r="AI62" s="1107"/>
      <c r="AJ62" s="1107"/>
      <c r="AK62" s="1107"/>
      <c r="AL62" s="1006"/>
      <c r="AM62" s="1110"/>
      <c r="AN62" s="1110"/>
      <c r="AO62" s="1103"/>
      <c r="AP62" s="1144"/>
      <c r="AQ62" s="1006"/>
      <c r="AR62" s="1107"/>
      <c r="AS62" s="1107"/>
      <c r="AT62" s="1107"/>
      <c r="AU62" s="1107"/>
      <c r="AV62" s="1107"/>
      <c r="AW62" s="1107"/>
      <c r="AX62" s="1107"/>
      <c r="AY62" s="1105"/>
      <c r="AZ62" s="1105"/>
      <c r="BA62" s="1105"/>
    </row>
    <row r="63" spans="1:53" ht="12.75" customHeight="1">
      <c r="A63" s="1146" t="s">
        <v>227</v>
      </c>
      <c r="B63" s="1105"/>
      <c r="C63" s="1006"/>
      <c r="D63" s="1006"/>
      <c r="E63" s="1006"/>
      <c r="F63" s="1006"/>
      <c r="G63" s="1006"/>
      <c r="H63" s="1006"/>
      <c r="I63" s="1006"/>
      <c r="J63" s="1006"/>
      <c r="K63" s="1006"/>
      <c r="L63" s="1006"/>
      <c r="M63" s="1006"/>
      <c r="N63" s="1006"/>
      <c r="O63" s="1006"/>
      <c r="P63" s="1006"/>
      <c r="Q63" s="1006"/>
      <c r="R63" s="1006"/>
      <c r="S63" s="1006"/>
      <c r="T63" s="1006"/>
      <c r="U63" s="1006"/>
      <c r="V63" s="1006"/>
      <c r="W63" s="1006"/>
      <c r="X63" s="1006"/>
      <c r="Y63" s="1006"/>
      <c r="Z63" s="1006"/>
      <c r="AA63" s="1006"/>
      <c r="AB63" s="1006"/>
      <c r="AC63" s="1006"/>
      <c r="AD63" s="1006"/>
      <c r="AE63" s="1006"/>
      <c r="AF63" s="1006"/>
      <c r="AG63" s="966"/>
      <c r="AH63" s="1006"/>
      <c r="AI63" s="966"/>
      <c r="AJ63" s="966"/>
      <c r="AK63" s="1006"/>
      <c r="AL63" s="1006"/>
      <c r="AM63" s="1006"/>
      <c r="AN63" s="1006"/>
      <c r="AO63" s="1112"/>
      <c r="AP63" s="1112"/>
      <c r="AQ63" s="1006"/>
      <c r="AR63" s="1006"/>
      <c r="AS63" s="1006"/>
      <c r="AT63" s="1006"/>
      <c r="AU63" s="1006"/>
      <c r="AV63" s="1006"/>
      <c r="AW63" s="1006"/>
      <c r="AX63" s="1006"/>
      <c r="AY63" s="1050"/>
      <c r="AZ63" s="1105"/>
      <c r="BA63" s="1105"/>
    </row>
    <row r="64" spans="3:54" ht="12.75" customHeight="1">
      <c r="C64" s="1445" t="s">
        <v>497</v>
      </c>
      <c r="D64" s="1446"/>
      <c r="E64" s="967"/>
      <c r="F64" s="970"/>
      <c r="G64" s="968"/>
      <c r="H64" s="968"/>
      <c r="I64" s="969"/>
      <c r="J64" s="970"/>
      <c r="K64" s="968"/>
      <c r="L64" s="968"/>
      <c r="M64" s="969"/>
      <c r="N64" s="968"/>
      <c r="O64" s="968"/>
      <c r="P64" s="968"/>
      <c r="Q64" s="969"/>
      <c r="R64" s="968"/>
      <c r="S64" s="969"/>
      <c r="U64" s="969"/>
      <c r="V64" s="968"/>
      <c r="W64" s="968"/>
      <c r="Y64" s="969"/>
      <c r="AA64" s="968"/>
      <c r="AB64" s="968"/>
      <c r="AC64" s="969"/>
      <c r="AD64" s="968"/>
      <c r="AE64" s="968"/>
      <c r="AF64" s="968"/>
      <c r="AG64" s="968"/>
      <c r="AH64" s="970"/>
      <c r="AI64" s="969"/>
      <c r="AJ64" s="969"/>
      <c r="AK64" s="969"/>
      <c r="AL64" s="971"/>
      <c r="AM64" s="725" t="s">
        <v>406</v>
      </c>
      <c r="AN64" s="711"/>
      <c r="AO64" s="711" t="s">
        <v>480</v>
      </c>
      <c r="AP64" s="712"/>
      <c r="AQ64" s="1006"/>
      <c r="AR64" s="973"/>
      <c r="AS64" s="973"/>
      <c r="AT64" s="973"/>
      <c r="AU64" s="973"/>
      <c r="AV64" s="973"/>
      <c r="AW64" s="1118"/>
      <c r="AX64" s="1119"/>
      <c r="AY64" s="973"/>
      <c r="AZ64" s="1105"/>
      <c r="BA64" s="1105"/>
      <c r="BB64" s="976"/>
    </row>
    <row r="65" spans="3:54" ht="12.75" customHeight="1">
      <c r="C65" s="1447" t="s">
        <v>41</v>
      </c>
      <c r="D65" s="1448"/>
      <c r="E65" s="977"/>
      <c r="F65" s="980"/>
      <c r="G65" s="978" t="s">
        <v>430</v>
      </c>
      <c r="H65" s="978" t="s">
        <v>429</v>
      </c>
      <c r="I65" s="979" t="s">
        <v>427</v>
      </c>
      <c r="J65" s="980" t="s">
        <v>362</v>
      </c>
      <c r="K65" s="978" t="s">
        <v>363</v>
      </c>
      <c r="L65" s="978" t="s">
        <v>364</v>
      </c>
      <c r="M65" s="979" t="s">
        <v>365</v>
      </c>
      <c r="N65" s="978" t="s">
        <v>277</v>
      </c>
      <c r="O65" s="978" t="s">
        <v>278</v>
      </c>
      <c r="P65" s="978" t="s">
        <v>279</v>
      </c>
      <c r="Q65" s="979" t="s">
        <v>276</v>
      </c>
      <c r="R65" s="978" t="s">
        <v>222</v>
      </c>
      <c r="S65" s="979" t="s">
        <v>223</v>
      </c>
      <c r="T65" s="978" t="s">
        <v>224</v>
      </c>
      <c r="U65" s="979" t="s">
        <v>225</v>
      </c>
      <c r="V65" s="978" t="s">
        <v>141</v>
      </c>
      <c r="W65" s="978" t="s">
        <v>140</v>
      </c>
      <c r="X65" s="978" t="s">
        <v>139</v>
      </c>
      <c r="Y65" s="979" t="s">
        <v>138</v>
      </c>
      <c r="Z65" s="978" t="s">
        <v>91</v>
      </c>
      <c r="AA65" s="978" t="s">
        <v>92</v>
      </c>
      <c r="AB65" s="978" t="s">
        <v>93</v>
      </c>
      <c r="AC65" s="979" t="s">
        <v>32</v>
      </c>
      <c r="AD65" s="978" t="s">
        <v>33</v>
      </c>
      <c r="AE65" s="978" t="s">
        <v>34</v>
      </c>
      <c r="AF65" s="978" t="s">
        <v>35</v>
      </c>
      <c r="AG65" s="978" t="s">
        <v>36</v>
      </c>
      <c r="AH65" s="980" t="s">
        <v>37</v>
      </c>
      <c r="AI65" s="979" t="s">
        <v>38</v>
      </c>
      <c r="AJ65" s="979" t="s">
        <v>39</v>
      </c>
      <c r="AK65" s="979" t="s">
        <v>40</v>
      </c>
      <c r="AL65" s="967"/>
      <c r="AM65" s="21" t="s">
        <v>430</v>
      </c>
      <c r="AN65" s="21" t="s">
        <v>363</v>
      </c>
      <c r="AO65" s="1435" t="s">
        <v>41</v>
      </c>
      <c r="AP65" s="1436"/>
      <c r="AQ65" s="1006"/>
      <c r="AR65" s="980" t="s">
        <v>367</v>
      </c>
      <c r="AS65" s="980" t="s">
        <v>285</v>
      </c>
      <c r="AT65" s="980" t="s">
        <v>143</v>
      </c>
      <c r="AU65" s="980" t="s">
        <v>142</v>
      </c>
      <c r="AV65" s="980" t="s">
        <v>45</v>
      </c>
      <c r="AW65" s="980" t="s">
        <v>42</v>
      </c>
      <c r="AX65" s="982" t="s">
        <v>43</v>
      </c>
      <c r="AY65" s="982" t="s">
        <v>165</v>
      </c>
      <c r="AZ65" s="1105"/>
      <c r="BA65" s="1105"/>
      <c r="BB65" s="976"/>
    </row>
    <row r="66" spans="1:54" ht="12.75" customHeight="1">
      <c r="A66" s="1010"/>
      <c r="B66" s="7" t="s">
        <v>475</v>
      </c>
      <c r="C66" s="1122">
        <v>-2710</v>
      </c>
      <c r="D66" s="1123">
        <v>-0.18649783222076938</v>
      </c>
      <c r="E66" s="1005"/>
      <c r="F66" s="1124"/>
      <c r="G66" s="1124">
        <v>11821</v>
      </c>
      <c r="H66" s="1124">
        <v>11011</v>
      </c>
      <c r="I66" s="1147">
        <v>14900</v>
      </c>
      <c r="J66" s="1124">
        <v>11823</v>
      </c>
      <c r="K66" s="1124">
        <v>14531</v>
      </c>
      <c r="L66" s="1124">
        <v>14052</v>
      </c>
      <c r="M66" s="1147">
        <v>13723</v>
      </c>
      <c r="N66" s="1124">
        <v>19975</v>
      </c>
      <c r="O66" s="1124">
        <v>11861</v>
      </c>
      <c r="P66" s="1124">
        <v>11610</v>
      </c>
      <c r="Q66" s="1124">
        <v>7890</v>
      </c>
      <c r="R66" s="1148">
        <v>9533</v>
      </c>
      <c r="S66" s="1124">
        <v>17508</v>
      </c>
      <c r="T66" s="1124">
        <v>8721</v>
      </c>
      <c r="U66" s="1124">
        <v>6975</v>
      </c>
      <c r="V66" s="1148">
        <v>8215</v>
      </c>
      <c r="W66" s="1124">
        <v>9418</v>
      </c>
      <c r="X66" s="1124">
        <v>9547</v>
      </c>
      <c r="Y66" s="1124">
        <v>8802</v>
      </c>
      <c r="Z66" s="1149">
        <v>7648</v>
      </c>
      <c r="AA66" s="1126">
        <v>7035</v>
      </c>
      <c r="AB66" s="1150">
        <v>8214</v>
      </c>
      <c r="AC66" s="1147">
        <v>8390</v>
      </c>
      <c r="AD66" s="1125">
        <v>29584</v>
      </c>
      <c r="AE66" s="1006"/>
      <c r="AF66" s="1006"/>
      <c r="AG66" s="966"/>
      <c r="AH66" s="1006"/>
      <c r="AI66" s="966"/>
      <c r="AJ66" s="966"/>
      <c r="AK66" s="1006"/>
      <c r="AL66" s="1005"/>
      <c r="AM66" s="1064">
        <v>37732</v>
      </c>
      <c r="AN66" s="1019">
        <v>42306</v>
      </c>
      <c r="AO66" s="1151">
        <v>-4574</v>
      </c>
      <c r="AP66" s="1077">
        <v>-0.10811705195480546</v>
      </c>
      <c r="AQ66" s="1006"/>
      <c r="AR66" s="1128">
        <v>54129</v>
      </c>
      <c r="AS66" s="1128">
        <v>51336</v>
      </c>
      <c r="AT66" s="1265">
        <v>62551</v>
      </c>
      <c r="AU66" s="1265">
        <v>51815</v>
      </c>
      <c r="AV66" s="1265">
        <v>48193</v>
      </c>
      <c r="AW66" s="1079">
        <v>44852</v>
      </c>
      <c r="AX66" s="1129">
        <v>45773</v>
      </c>
      <c r="AY66" s="1083">
        <v>41570</v>
      </c>
      <c r="AZ66" s="1105"/>
      <c r="BA66" s="1105"/>
      <c r="BB66" s="976"/>
    </row>
    <row r="67" spans="1:54" ht="12.75" customHeight="1">
      <c r="A67" s="1010"/>
      <c r="B67" s="7" t="s">
        <v>70</v>
      </c>
      <c r="C67" s="1122">
        <v>6607</v>
      </c>
      <c r="D67" s="1123">
        <v>0.4709865982321072</v>
      </c>
      <c r="E67" s="1005"/>
      <c r="F67" s="1124"/>
      <c r="G67" s="1124">
        <v>20635</v>
      </c>
      <c r="H67" s="1124">
        <v>7268</v>
      </c>
      <c r="I67" s="1147">
        <v>9096</v>
      </c>
      <c r="J67" s="1124">
        <v>12782</v>
      </c>
      <c r="K67" s="1124">
        <v>14028</v>
      </c>
      <c r="L67" s="1124">
        <v>10698</v>
      </c>
      <c r="M67" s="1147">
        <v>13191</v>
      </c>
      <c r="N67" s="1124">
        <v>30213</v>
      </c>
      <c r="O67" s="1124">
        <v>14404</v>
      </c>
      <c r="P67" s="1124">
        <v>15551</v>
      </c>
      <c r="Q67" s="1124">
        <v>34712</v>
      </c>
      <c r="R67" s="1148">
        <v>56010</v>
      </c>
      <c r="S67" s="1124">
        <v>72232</v>
      </c>
      <c r="T67" s="1124">
        <v>33469</v>
      </c>
      <c r="U67" s="1124">
        <v>31749</v>
      </c>
      <c r="V67" s="1148">
        <v>23306</v>
      </c>
      <c r="W67" s="1124">
        <v>46294</v>
      </c>
      <c r="X67" s="1124">
        <v>16811</v>
      </c>
      <c r="Y67" s="1124">
        <v>19402</v>
      </c>
      <c r="Z67" s="1149">
        <v>15250</v>
      </c>
      <c r="AA67" s="1124">
        <v>4569</v>
      </c>
      <c r="AB67" s="1147">
        <v>12638</v>
      </c>
      <c r="AC67" s="1147">
        <v>17564</v>
      </c>
      <c r="AD67" s="1125">
        <v>0</v>
      </c>
      <c r="AE67" s="1006">
        <v>0</v>
      </c>
      <c r="AF67" s="1006">
        <v>0</v>
      </c>
      <c r="AG67" s="966">
        <v>0</v>
      </c>
      <c r="AH67" s="1006">
        <v>0</v>
      </c>
      <c r="AI67" s="966">
        <v>0</v>
      </c>
      <c r="AJ67" s="966">
        <v>0</v>
      </c>
      <c r="AK67" s="1006">
        <v>0</v>
      </c>
      <c r="AL67" s="1005"/>
      <c r="AM67" s="1064">
        <v>36999</v>
      </c>
      <c r="AN67" s="1019">
        <v>37917</v>
      </c>
      <c r="AO67" s="1065">
        <v>-918</v>
      </c>
      <c r="AP67" s="1014">
        <v>-0.024210776169000713</v>
      </c>
      <c r="AQ67" s="1006"/>
      <c r="AR67" s="1128">
        <v>50699</v>
      </c>
      <c r="AS67" s="1128">
        <v>94880</v>
      </c>
      <c r="AT67" s="1228">
        <v>194568</v>
      </c>
      <c r="AU67" s="1228">
        <v>104241</v>
      </c>
      <c r="AV67" s="1228">
        <v>50046</v>
      </c>
      <c r="AW67" s="1037">
        <v>121044</v>
      </c>
      <c r="AX67" s="1133">
        <v>128763</v>
      </c>
      <c r="AY67" s="1039">
        <v>99263</v>
      </c>
      <c r="AZ67" s="1105"/>
      <c r="BA67" s="1105"/>
      <c r="BB67" s="976"/>
    </row>
    <row r="68" spans="1:54" ht="12.75" customHeight="1">
      <c r="A68" s="1010"/>
      <c r="B68" s="7" t="s">
        <v>255</v>
      </c>
      <c r="C68" s="1122">
        <v>-38787</v>
      </c>
      <c r="D68" s="1123">
        <v>-0.8576451077943615</v>
      </c>
      <c r="E68" s="1005"/>
      <c r="F68" s="1124"/>
      <c r="G68" s="1124">
        <v>6438</v>
      </c>
      <c r="H68" s="1124">
        <v>10680</v>
      </c>
      <c r="I68" s="1147">
        <v>7011</v>
      </c>
      <c r="J68" s="1124">
        <v>29695</v>
      </c>
      <c r="K68" s="1124">
        <v>45225</v>
      </c>
      <c r="L68" s="1124">
        <v>8678</v>
      </c>
      <c r="M68" s="1147">
        <v>5921</v>
      </c>
      <c r="N68" s="1124">
        <v>16725</v>
      </c>
      <c r="O68" s="1124">
        <v>27820</v>
      </c>
      <c r="P68" s="1124">
        <v>16442</v>
      </c>
      <c r="Q68" s="1124">
        <v>17764</v>
      </c>
      <c r="R68" s="1148">
        <v>19979</v>
      </c>
      <c r="S68" s="1124">
        <v>19864</v>
      </c>
      <c r="T68" s="1124">
        <v>8169</v>
      </c>
      <c r="U68" s="1124">
        <v>14504</v>
      </c>
      <c r="V68" s="1148">
        <v>1297</v>
      </c>
      <c r="W68" s="1124">
        <v>1601</v>
      </c>
      <c r="X68" s="1124">
        <v>1211</v>
      </c>
      <c r="Y68" s="1124">
        <v>1444</v>
      </c>
      <c r="Z68" s="1149">
        <v>2473</v>
      </c>
      <c r="AA68" s="1124">
        <v>1215</v>
      </c>
      <c r="AB68" s="1147">
        <v>2659</v>
      </c>
      <c r="AC68" s="1147">
        <v>8562</v>
      </c>
      <c r="AD68" s="1125"/>
      <c r="AE68" s="1006"/>
      <c r="AF68" s="1006"/>
      <c r="AG68" s="966"/>
      <c r="AH68" s="1006"/>
      <c r="AI68" s="966"/>
      <c r="AJ68" s="966"/>
      <c r="AK68" s="1006"/>
      <c r="AL68" s="1005"/>
      <c r="AM68" s="1064">
        <v>24129</v>
      </c>
      <c r="AN68" s="1019">
        <v>59824</v>
      </c>
      <c r="AO68" s="1152">
        <v>-35695</v>
      </c>
      <c r="AP68" s="1014">
        <v>-0.5966668895426585</v>
      </c>
      <c r="AQ68" s="1006"/>
      <c r="AR68" s="1128">
        <v>89519</v>
      </c>
      <c r="AS68" s="1128">
        <v>78751</v>
      </c>
      <c r="AT68" s="1228">
        <v>62517</v>
      </c>
      <c r="AU68" s="1228">
        <v>6277</v>
      </c>
      <c r="AV68" s="1228">
        <v>14909</v>
      </c>
      <c r="AW68" s="1037">
        <v>17584</v>
      </c>
      <c r="AX68" s="1153">
        <v>12713</v>
      </c>
      <c r="AY68" s="1039">
        <v>4636</v>
      </c>
      <c r="AZ68" s="1105"/>
      <c r="BA68" s="1105"/>
      <c r="BB68" s="976"/>
    </row>
    <row r="69" spans="1:54" ht="12.75" customHeight="1">
      <c r="A69" s="1010"/>
      <c r="B69" s="7" t="s">
        <v>71</v>
      </c>
      <c r="C69" s="1122">
        <v>327</v>
      </c>
      <c r="D69" s="1123">
        <v>0.6632860040567952</v>
      </c>
      <c r="E69" s="1005"/>
      <c r="F69" s="1124"/>
      <c r="G69" s="1124">
        <v>820</v>
      </c>
      <c r="H69" s="1124">
        <v>459</v>
      </c>
      <c r="I69" s="1147">
        <v>48</v>
      </c>
      <c r="J69" s="1124">
        <v>543</v>
      </c>
      <c r="K69" s="1124">
        <v>493</v>
      </c>
      <c r="L69" s="1124">
        <v>699</v>
      </c>
      <c r="M69" s="1147">
        <v>397</v>
      </c>
      <c r="N69" s="1124">
        <v>1761</v>
      </c>
      <c r="O69" s="1124">
        <v>807</v>
      </c>
      <c r="P69" s="488">
        <v>-2981</v>
      </c>
      <c r="Q69" s="1124">
        <v>-405</v>
      </c>
      <c r="R69" s="1148">
        <v>2915</v>
      </c>
      <c r="S69" s="1124">
        <v>-373</v>
      </c>
      <c r="T69" s="1124">
        <v>-659</v>
      </c>
      <c r="U69" s="1124">
        <v>-262</v>
      </c>
      <c r="V69" s="1148">
        <v>-115</v>
      </c>
      <c r="W69" s="1124">
        <v>-132</v>
      </c>
      <c r="X69" s="1124">
        <v>-255</v>
      </c>
      <c r="Y69" s="1124">
        <v>-45</v>
      </c>
      <c r="Z69" s="1149">
        <v>-388</v>
      </c>
      <c r="AA69" s="1124">
        <v>-274</v>
      </c>
      <c r="AB69" s="1147">
        <v>-218</v>
      </c>
      <c r="AC69" s="1147">
        <v>-343</v>
      </c>
      <c r="AD69" s="1125">
        <v>5363</v>
      </c>
      <c r="AE69" s="1006"/>
      <c r="AF69" s="1006"/>
      <c r="AG69" s="966"/>
      <c r="AH69" s="1006"/>
      <c r="AI69" s="966"/>
      <c r="AJ69" s="966"/>
      <c r="AK69" s="1006"/>
      <c r="AL69" s="1005"/>
      <c r="AM69" s="1064">
        <v>1327</v>
      </c>
      <c r="AN69" s="1019">
        <v>1589</v>
      </c>
      <c r="AO69" s="1152">
        <v>-262</v>
      </c>
      <c r="AP69" s="1014">
        <v>-0.16488357457520453</v>
      </c>
      <c r="AQ69" s="1006"/>
      <c r="AR69" s="1128">
        <v>2132</v>
      </c>
      <c r="AS69" s="662">
        <v>-818</v>
      </c>
      <c r="AT69" s="1228">
        <v>12833</v>
      </c>
      <c r="AU69" s="1228">
        <v>12778</v>
      </c>
      <c r="AV69" s="1228">
        <v>8388</v>
      </c>
      <c r="AW69" s="1037">
        <v>-8100</v>
      </c>
      <c r="AX69" s="1133">
        <v>-524</v>
      </c>
      <c r="AY69" s="1039">
        <v>4647</v>
      </c>
      <c r="AZ69" s="1105"/>
      <c r="BA69" s="1105"/>
      <c r="BB69" s="976"/>
    </row>
    <row r="70" spans="1:54" ht="12.75" customHeight="1">
      <c r="A70" s="1010"/>
      <c r="B70" s="7" t="s">
        <v>72</v>
      </c>
      <c r="C70" s="1122">
        <v>-548</v>
      </c>
      <c r="D70" s="1224">
        <v>-0.2620755619320899</v>
      </c>
      <c r="E70" s="1005"/>
      <c r="F70" s="1124"/>
      <c r="G70" s="1154">
        <v>1543</v>
      </c>
      <c r="H70" s="1036">
        <v>1807</v>
      </c>
      <c r="I70" s="1147">
        <v>1836</v>
      </c>
      <c r="J70" s="1124">
        <v>1527</v>
      </c>
      <c r="K70" s="1124">
        <v>2091</v>
      </c>
      <c r="L70" s="1124">
        <v>1284</v>
      </c>
      <c r="M70" s="1147">
        <v>2356</v>
      </c>
      <c r="N70" s="1124">
        <v>2272</v>
      </c>
      <c r="O70" s="1124">
        <v>2019</v>
      </c>
      <c r="P70" s="1124">
        <v>1807</v>
      </c>
      <c r="Q70" s="1124">
        <v>1740</v>
      </c>
      <c r="R70" s="1148">
        <v>143</v>
      </c>
      <c r="S70" s="1154">
        <v>99</v>
      </c>
      <c r="T70" s="1154">
        <v>137</v>
      </c>
      <c r="U70" s="1124">
        <v>46</v>
      </c>
      <c r="V70" s="1148">
        <v>102</v>
      </c>
      <c r="W70" s="1155">
        <v>0</v>
      </c>
      <c r="X70" s="1155">
        <v>0</v>
      </c>
      <c r="Y70" s="1124">
        <v>37</v>
      </c>
      <c r="Z70" s="1149">
        <v>50</v>
      </c>
      <c r="AA70" s="1124">
        <v>93</v>
      </c>
      <c r="AB70" s="1147">
        <v>168</v>
      </c>
      <c r="AC70" s="1147">
        <v>178</v>
      </c>
      <c r="AD70" s="1125">
        <v>-3063</v>
      </c>
      <c r="AE70" s="1006">
        <v>42952</v>
      </c>
      <c r="AF70" s="1006">
        <v>39210</v>
      </c>
      <c r="AG70" s="966">
        <v>62549</v>
      </c>
      <c r="AH70" s="1006">
        <v>57382</v>
      </c>
      <c r="AI70" s="966">
        <v>48897</v>
      </c>
      <c r="AJ70" s="966">
        <v>38533</v>
      </c>
      <c r="AK70" s="1006">
        <v>42750</v>
      </c>
      <c r="AL70" s="1005"/>
      <c r="AM70" s="1064">
        <v>5186</v>
      </c>
      <c r="AN70" s="1019">
        <v>5731</v>
      </c>
      <c r="AO70" s="1152">
        <v>-545</v>
      </c>
      <c r="AP70" s="1014">
        <v>-0.09509684173791659</v>
      </c>
      <c r="AQ70" s="1006"/>
      <c r="AR70" s="1128">
        <v>7258</v>
      </c>
      <c r="AS70" s="1128">
        <v>7838</v>
      </c>
      <c r="AT70" s="1228">
        <v>5809</v>
      </c>
      <c r="AU70" s="1228">
        <v>2053</v>
      </c>
      <c r="AV70" s="1228">
        <v>1310</v>
      </c>
      <c r="AW70" s="1037">
        <v>942</v>
      </c>
      <c r="AX70" s="1133">
        <v>543</v>
      </c>
      <c r="AY70" s="1039">
        <v>236</v>
      </c>
      <c r="AZ70" s="1105"/>
      <c r="BA70" s="1105"/>
      <c r="BB70" s="976"/>
    </row>
    <row r="71" spans="1:54" ht="12.75" customHeight="1">
      <c r="A71" s="1116"/>
      <c r="B71" s="7" t="s">
        <v>73</v>
      </c>
      <c r="C71" s="1122">
        <v>-60</v>
      </c>
      <c r="D71" s="1123">
        <v>-0.6976744186046512</v>
      </c>
      <c r="E71" s="1156"/>
      <c r="F71" s="1124"/>
      <c r="G71" s="1154">
        <v>26</v>
      </c>
      <c r="H71" s="1016">
        <v>39</v>
      </c>
      <c r="I71" s="1147">
        <v>19</v>
      </c>
      <c r="J71" s="1124">
        <v>444</v>
      </c>
      <c r="K71" s="1124">
        <v>86</v>
      </c>
      <c r="L71" s="1124">
        <v>34</v>
      </c>
      <c r="M71" s="1147">
        <v>36</v>
      </c>
      <c r="N71" s="1124">
        <v>60</v>
      </c>
      <c r="O71" s="1124">
        <v>31</v>
      </c>
      <c r="P71" s="1124">
        <v>62</v>
      </c>
      <c r="Q71" s="1124">
        <v>166</v>
      </c>
      <c r="R71" s="1148">
        <v>52</v>
      </c>
      <c r="S71" s="1154">
        <v>74</v>
      </c>
      <c r="T71" s="1158">
        <v>72</v>
      </c>
      <c r="U71" s="1018">
        <v>45</v>
      </c>
      <c r="V71" s="1148">
        <v>1</v>
      </c>
      <c r="W71" s="1155">
        <v>0</v>
      </c>
      <c r="X71" s="1159">
        <v>0</v>
      </c>
      <c r="Y71" s="1018">
        <v>414</v>
      </c>
      <c r="Z71" s="1061">
        <v>0</v>
      </c>
      <c r="AA71" s="1018">
        <v>1</v>
      </c>
      <c r="AB71" s="1160">
        <v>0</v>
      </c>
      <c r="AC71" s="1157">
        <v>1</v>
      </c>
      <c r="AD71" s="1139">
        <v>60</v>
      </c>
      <c r="AE71" s="972"/>
      <c r="AF71" s="972"/>
      <c r="AG71" s="972"/>
      <c r="AH71" s="972"/>
      <c r="AI71" s="972"/>
      <c r="AJ71" s="972"/>
      <c r="AK71" s="972"/>
      <c r="AL71" s="1005"/>
      <c r="AM71" s="1064">
        <v>84</v>
      </c>
      <c r="AN71" s="1019">
        <v>156</v>
      </c>
      <c r="AO71" s="1152">
        <v>-72</v>
      </c>
      <c r="AP71" s="1132">
        <v>-0.46153846153846156</v>
      </c>
      <c r="AQ71" s="1010"/>
      <c r="AR71" s="1128">
        <v>600</v>
      </c>
      <c r="AS71" s="1128">
        <v>319</v>
      </c>
      <c r="AT71" s="1231">
        <v>242</v>
      </c>
      <c r="AU71" s="1231">
        <v>417</v>
      </c>
      <c r="AV71" s="1231">
        <v>4</v>
      </c>
      <c r="AW71" s="1134">
        <v>333</v>
      </c>
      <c r="AX71" s="1135">
        <v>294</v>
      </c>
      <c r="AY71" s="1136">
        <v>118</v>
      </c>
      <c r="AZ71" s="1105"/>
      <c r="BA71" s="1105"/>
      <c r="BB71" s="976"/>
    </row>
    <row r="72" spans="1:53" ht="12.75" customHeight="1">
      <c r="A72" s="1116"/>
      <c r="B72" s="7"/>
      <c r="C72" s="1161">
        <v>-35171</v>
      </c>
      <c r="D72" s="1162">
        <v>-0.46002825228241817</v>
      </c>
      <c r="E72" s="971"/>
      <c r="F72" s="1163"/>
      <c r="G72" s="1163">
        <v>41283</v>
      </c>
      <c r="H72" s="1163">
        <v>31264</v>
      </c>
      <c r="I72" s="1164">
        <v>32910</v>
      </c>
      <c r="J72" s="1163">
        <v>56814</v>
      </c>
      <c r="K72" s="1163">
        <v>76454</v>
      </c>
      <c r="L72" s="1163">
        <v>35445</v>
      </c>
      <c r="M72" s="1164">
        <v>35624</v>
      </c>
      <c r="N72" s="1163">
        <v>71006</v>
      </c>
      <c r="O72" s="1163">
        <v>56942</v>
      </c>
      <c r="P72" s="1163">
        <v>42491</v>
      </c>
      <c r="Q72" s="1163">
        <v>61867</v>
      </c>
      <c r="R72" s="1165">
        <v>88632</v>
      </c>
      <c r="S72" s="1163">
        <v>109404</v>
      </c>
      <c r="T72" s="1163">
        <v>49909</v>
      </c>
      <c r="U72" s="1163">
        <v>53057</v>
      </c>
      <c r="V72" s="1165">
        <v>32806</v>
      </c>
      <c r="W72" s="1163">
        <v>57181</v>
      </c>
      <c r="X72" s="1163">
        <v>27314</v>
      </c>
      <c r="Y72" s="1163">
        <v>30054</v>
      </c>
      <c r="Z72" s="1165">
        <v>25033</v>
      </c>
      <c r="AA72" s="1163">
        <v>12639</v>
      </c>
      <c r="AB72" s="1164">
        <v>23461</v>
      </c>
      <c r="AC72" s="1164">
        <v>34352</v>
      </c>
      <c r="AD72" s="1164">
        <v>31944</v>
      </c>
      <c r="AE72" s="962"/>
      <c r="AF72" s="962"/>
      <c r="AG72" s="962"/>
      <c r="AH72" s="962"/>
      <c r="AI72" s="962"/>
      <c r="AJ72" s="962"/>
      <c r="AK72" s="962"/>
      <c r="AL72" s="971"/>
      <c r="AM72" s="1165">
        <v>105457</v>
      </c>
      <c r="AN72" s="1163">
        <v>147523</v>
      </c>
      <c r="AO72" s="1166">
        <v>-42066</v>
      </c>
      <c r="AP72" s="1167">
        <v>-0.2851487564650936</v>
      </c>
      <c r="AR72" s="1168">
        <v>204337</v>
      </c>
      <c r="AS72" s="1168">
        <v>232306</v>
      </c>
      <c r="AT72" s="1168">
        <v>338520</v>
      </c>
      <c r="AU72" s="1168">
        <v>177581</v>
      </c>
      <c r="AV72" s="1169">
        <v>122850</v>
      </c>
      <c r="AW72" s="1169">
        <v>176655</v>
      </c>
      <c r="AX72" s="1169">
        <v>187562</v>
      </c>
      <c r="AY72" s="1169">
        <v>150470</v>
      </c>
      <c r="AZ72" s="1105"/>
      <c r="BA72" s="1105"/>
    </row>
    <row r="73" spans="1:53" ht="12.75" customHeight="1">
      <c r="A73" s="1116"/>
      <c r="B73" s="7"/>
      <c r="C73" s="1137"/>
      <c r="D73" s="1170"/>
      <c r="E73" s="971"/>
      <c r="F73" s="1171"/>
      <c r="G73" s="1172"/>
      <c r="H73" s="1172"/>
      <c r="I73" s="1139"/>
      <c r="J73" s="1171"/>
      <c r="K73" s="1172"/>
      <c r="L73" s="1172"/>
      <c r="M73" s="1139"/>
      <c r="N73" s="1171"/>
      <c r="O73" s="1163"/>
      <c r="P73" s="1172"/>
      <c r="Q73" s="1172"/>
      <c r="R73" s="1173"/>
      <c r="S73" s="1172"/>
      <c r="T73" s="1172"/>
      <c r="U73" s="1172"/>
      <c r="V73" s="1173"/>
      <c r="W73" s="1172"/>
      <c r="X73" s="1172"/>
      <c r="Y73" s="1172"/>
      <c r="Z73" s="1171"/>
      <c r="AA73" s="1171"/>
      <c r="AB73" s="1171"/>
      <c r="AC73" s="1171"/>
      <c r="AD73" s="1171"/>
      <c r="AE73" s="962"/>
      <c r="AF73" s="962"/>
      <c r="AG73" s="962"/>
      <c r="AH73" s="962"/>
      <c r="AI73" s="962"/>
      <c r="AJ73" s="962"/>
      <c r="AK73" s="962"/>
      <c r="AL73" s="971"/>
      <c r="AM73" s="1173"/>
      <c r="AN73" s="1172"/>
      <c r="AO73" s="1174"/>
      <c r="AP73" s="1175"/>
      <c r="AR73" s="1176"/>
      <c r="AS73" s="1176"/>
      <c r="AT73" s="1176"/>
      <c r="AU73" s="1176"/>
      <c r="AV73" s="1177"/>
      <c r="AW73" s="1177"/>
      <c r="AX73" s="1177"/>
      <c r="AY73" s="1020"/>
      <c r="AZ73" s="1105"/>
      <c r="BA73" s="1105"/>
    </row>
    <row r="74" spans="1:54" ht="12.75" customHeight="1">
      <c r="A74" s="966"/>
      <c r="B74" s="7" t="s">
        <v>476</v>
      </c>
      <c r="C74" s="1178">
        <v>994</v>
      </c>
      <c r="D74" s="1179">
        <v>0.34525877040639114</v>
      </c>
      <c r="E74" s="1180"/>
      <c r="F74" s="1181"/>
      <c r="G74" s="1181">
        <v>-1885</v>
      </c>
      <c r="H74" s="1181">
        <v>-3642</v>
      </c>
      <c r="I74" s="470">
        <v>-1755</v>
      </c>
      <c r="J74" s="1181">
        <v>-4119</v>
      </c>
      <c r="K74" s="1181">
        <v>-2879</v>
      </c>
      <c r="L74" s="1181">
        <v>-1301</v>
      </c>
      <c r="M74" s="1182">
        <v>-3367</v>
      </c>
      <c r="N74" s="1181">
        <v>-218</v>
      </c>
      <c r="O74" s="1181">
        <v>-4844</v>
      </c>
      <c r="P74" s="1181">
        <v>-6322</v>
      </c>
      <c r="Q74" s="1182">
        <v>-10795</v>
      </c>
      <c r="R74" s="1183">
        <v>-9261</v>
      </c>
      <c r="S74" s="1184">
        <v>-1134</v>
      </c>
      <c r="T74" s="1184">
        <v>-5070</v>
      </c>
      <c r="U74" s="1185">
        <v>-6918</v>
      </c>
      <c r="V74" s="1186" t="s">
        <v>214</v>
      </c>
      <c r="W74" s="1187" t="s">
        <v>214</v>
      </c>
      <c r="X74" s="1188" t="s">
        <v>214</v>
      </c>
      <c r="Y74" s="1188" t="s">
        <v>214</v>
      </c>
      <c r="Z74" s="1189"/>
      <c r="AA74" s="1189"/>
      <c r="AB74" s="1189"/>
      <c r="AC74" s="1189"/>
      <c r="AD74" s="1189"/>
      <c r="AE74" s="1190"/>
      <c r="AF74" s="1190"/>
      <c r="AG74" s="1190"/>
      <c r="AH74" s="1190"/>
      <c r="AI74" s="1190"/>
      <c r="AJ74" s="1190"/>
      <c r="AK74" s="1190"/>
      <c r="AL74" s="1191"/>
      <c r="AM74" s="716">
        <v>-7282</v>
      </c>
      <c r="AN74" s="611">
        <v>-7547</v>
      </c>
      <c r="AO74" s="611">
        <v>265</v>
      </c>
      <c r="AP74" s="1192">
        <v>0.0351132900490261</v>
      </c>
      <c r="AQ74" s="1193"/>
      <c r="AR74" s="708">
        <v>-11666</v>
      </c>
      <c r="AS74" s="708">
        <v>-22179</v>
      </c>
      <c r="AT74" s="708">
        <v>-22383</v>
      </c>
      <c r="AU74" s="708" t="s">
        <v>214</v>
      </c>
      <c r="AV74" s="1194" t="s">
        <v>214</v>
      </c>
      <c r="AW74" s="708" t="s">
        <v>214</v>
      </c>
      <c r="AX74" s="708" t="s">
        <v>214</v>
      </c>
      <c r="AY74" s="1195"/>
      <c r="AZ74" s="1196"/>
      <c r="BA74" s="1196"/>
      <c r="BB74" s="1197"/>
    </row>
    <row r="75" spans="7:50" ht="12.75">
      <c r="G75" s="1198"/>
      <c r="H75" s="1198"/>
      <c r="I75" s="1050"/>
      <c r="K75" s="1198"/>
      <c r="L75" s="1198"/>
      <c r="M75" s="1050"/>
      <c r="P75" s="1198"/>
      <c r="Q75" s="1050"/>
      <c r="U75" s="1050"/>
      <c r="Y75" s="1050"/>
      <c r="AC75" s="1050"/>
      <c r="AK75" s="1050"/>
      <c r="AL75" s="957"/>
      <c r="AM75" s="957"/>
      <c r="AN75" s="957"/>
      <c r="AW75" s="1050"/>
      <c r="AX75" s="1050"/>
    </row>
    <row r="76" spans="6:51" ht="12.75">
      <c r="F76" s="1050"/>
      <c r="G76" s="1050"/>
      <c r="H76" s="1050"/>
      <c r="I76" s="1050"/>
      <c r="J76" s="1050"/>
      <c r="K76" s="1050"/>
      <c r="L76" s="1050"/>
      <c r="M76" s="1050"/>
      <c r="N76" s="1050"/>
      <c r="O76" s="1050"/>
      <c r="P76" s="1050"/>
      <c r="Q76" s="1050"/>
      <c r="R76" s="1050"/>
      <c r="S76" s="1050"/>
      <c r="T76" s="1050"/>
      <c r="U76" s="1050"/>
      <c r="V76" s="1050"/>
      <c r="W76" s="1050"/>
      <c r="X76" s="1050"/>
      <c r="Y76" s="1050"/>
      <c r="Z76" s="1050"/>
      <c r="AA76" s="1050"/>
      <c r="AB76" s="1050"/>
      <c r="AC76" s="1050"/>
      <c r="AD76" s="1050"/>
      <c r="AE76" s="1050"/>
      <c r="AF76" s="1050"/>
      <c r="AG76" s="1050"/>
      <c r="AH76" s="1050"/>
      <c r="AI76" s="1050"/>
      <c r="AJ76" s="1050"/>
      <c r="AK76" s="1050"/>
      <c r="AL76" s="1050"/>
      <c r="AM76" s="1050"/>
      <c r="AN76" s="1050"/>
      <c r="AO76" s="1024"/>
      <c r="AP76" s="1024"/>
      <c r="AQ76" s="1050"/>
      <c r="AR76" s="1050"/>
      <c r="AS76" s="1050"/>
      <c r="AT76" s="1050"/>
      <c r="AU76" s="1050"/>
      <c r="AV76" s="1050"/>
      <c r="AW76" s="1050"/>
      <c r="AX76" s="1050"/>
      <c r="AY76" s="1050"/>
    </row>
    <row r="77" spans="6:54" ht="12.75">
      <c r="F77" s="958"/>
      <c r="G77" s="958"/>
      <c r="H77" s="958"/>
      <c r="I77" s="958"/>
      <c r="J77" s="958"/>
      <c r="K77" s="958"/>
      <c r="L77" s="958"/>
      <c r="M77" s="958"/>
      <c r="N77" s="958"/>
      <c r="O77" s="958"/>
      <c r="P77" s="958"/>
      <c r="Q77" s="958"/>
      <c r="R77" s="958"/>
      <c r="S77" s="958"/>
      <c r="T77" s="958"/>
      <c r="U77" s="958"/>
      <c r="V77" s="958"/>
      <c r="W77" s="958"/>
      <c r="X77" s="958"/>
      <c r="Y77" s="958"/>
      <c r="Z77" s="958"/>
      <c r="AA77" s="958"/>
      <c r="AB77" s="958"/>
      <c r="AC77" s="958"/>
      <c r="AD77" s="958"/>
      <c r="AE77" s="958"/>
      <c r="AF77" s="958"/>
      <c r="AG77" s="958"/>
      <c r="AH77" s="958"/>
      <c r="AI77" s="958"/>
      <c r="AJ77" s="958"/>
      <c r="AK77" s="958"/>
      <c r="AL77" s="958"/>
      <c r="AM77" s="958"/>
      <c r="AN77" s="958"/>
      <c r="AO77" s="958"/>
      <c r="AP77" s="958"/>
      <c r="AQ77" s="958"/>
      <c r="AR77" s="958"/>
      <c r="AS77" s="958"/>
      <c r="AT77" s="958"/>
      <c r="AU77" s="958"/>
      <c r="AV77" s="958"/>
      <c r="AW77" s="958"/>
      <c r="AX77" s="958"/>
      <c r="AY77" s="958"/>
      <c r="AZ77" s="958"/>
      <c r="BA77" s="958"/>
      <c r="BB77" s="958">
        <v>0</v>
      </c>
    </row>
    <row r="78" spans="7:51" ht="12.75">
      <c r="G78" s="958"/>
      <c r="H78" s="958"/>
      <c r="I78" s="958"/>
      <c r="K78" s="958"/>
      <c r="L78" s="958"/>
      <c r="M78" s="958"/>
      <c r="P78" s="958"/>
      <c r="Q78" s="958"/>
      <c r="U78" s="958"/>
      <c r="Y78" s="958"/>
      <c r="Z78" s="958"/>
      <c r="AA78" s="958"/>
      <c r="AB78" s="958"/>
      <c r="AC78" s="958"/>
      <c r="AD78" s="958"/>
      <c r="AE78" s="958"/>
      <c r="AF78" s="958"/>
      <c r="AG78" s="958"/>
      <c r="AH78" s="958"/>
      <c r="AI78" s="958"/>
      <c r="AJ78" s="958"/>
      <c r="AK78" s="958"/>
      <c r="AL78" s="958"/>
      <c r="AM78" s="958"/>
      <c r="AN78" s="958"/>
      <c r="AO78" s="1199"/>
      <c r="AP78" s="1199"/>
      <c r="AQ78" s="958"/>
      <c r="AR78" s="958"/>
      <c r="AS78" s="958"/>
      <c r="AT78" s="958"/>
      <c r="AU78" s="958"/>
      <c r="AV78" s="958"/>
      <c r="AW78" s="958"/>
      <c r="AX78" s="1200"/>
      <c r="AY78" s="1200"/>
    </row>
    <row r="79" spans="6:51" ht="12.75">
      <c r="F79" s="958"/>
      <c r="G79" s="958"/>
      <c r="H79" s="958"/>
      <c r="I79" s="958"/>
      <c r="J79" s="958"/>
      <c r="K79" s="958"/>
      <c r="L79" s="958"/>
      <c r="M79" s="958"/>
      <c r="N79" s="958"/>
      <c r="O79" s="958"/>
      <c r="P79" s="958"/>
      <c r="Q79" s="958"/>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1199"/>
      <c r="AP79" s="1199"/>
      <c r="AQ79" s="958"/>
      <c r="AR79" s="958"/>
      <c r="AS79" s="958"/>
      <c r="AT79" s="958"/>
      <c r="AU79" s="958"/>
      <c r="AV79" s="958"/>
      <c r="AW79" s="958"/>
      <c r="AX79" s="958"/>
      <c r="AY79" s="958"/>
    </row>
    <row r="80" spans="6:51" ht="12.75">
      <c r="F80" s="958"/>
      <c r="G80" s="958"/>
      <c r="H80" s="958"/>
      <c r="I80" s="958"/>
      <c r="J80" s="958"/>
      <c r="K80" s="958"/>
      <c r="L80" s="958"/>
      <c r="M80" s="958"/>
      <c r="N80" s="958"/>
      <c r="O80" s="958"/>
      <c r="P80" s="958"/>
      <c r="Q80" s="958"/>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1199"/>
      <c r="AP80" s="1199"/>
      <c r="AQ80" s="958"/>
      <c r="AR80" s="958"/>
      <c r="AS80" s="958"/>
      <c r="AT80" s="958"/>
      <c r="AU80" s="958"/>
      <c r="AV80" s="958"/>
      <c r="AW80" s="958"/>
      <c r="AX80" s="958"/>
      <c r="AY80" s="958"/>
    </row>
    <row r="81" spans="1:51" ht="12.75">
      <c r="A81" s="957"/>
      <c r="B81" s="957"/>
      <c r="C81" s="957"/>
      <c r="D81" s="957"/>
      <c r="F81" s="1021"/>
      <c r="G81" s="1021"/>
      <c r="H81" s="1021"/>
      <c r="I81" s="1021"/>
      <c r="J81" s="1021"/>
      <c r="K81" s="1021"/>
      <c r="L81" s="1021"/>
      <c r="M81" s="1021"/>
      <c r="N81" s="1021"/>
      <c r="O81" s="1021"/>
      <c r="P81" s="1021"/>
      <c r="Q81" s="1021"/>
      <c r="R81" s="1021"/>
      <c r="S81" s="1021"/>
      <c r="T81" s="1021"/>
      <c r="U81" s="1021"/>
      <c r="V81" s="1021"/>
      <c r="W81" s="1021"/>
      <c r="X81" s="1021"/>
      <c r="Y81" s="1021"/>
      <c r="Z81" s="1021"/>
      <c r="AA81" s="1021"/>
      <c r="AB81" s="1021"/>
      <c r="AC81" s="1021"/>
      <c r="AD81" s="1021"/>
      <c r="AE81" s="1021"/>
      <c r="AF81" s="1021"/>
      <c r="AG81" s="1021"/>
      <c r="AH81" s="1021"/>
      <c r="AI81" s="1021"/>
      <c r="AJ81" s="1021"/>
      <c r="AK81" s="1021"/>
      <c r="AL81" s="1021"/>
      <c r="AM81" s="1021"/>
      <c r="AN81" s="1021"/>
      <c r="AO81" s="1201"/>
      <c r="AP81" s="1201"/>
      <c r="AQ81" s="1021"/>
      <c r="AR81" s="1021"/>
      <c r="AS81" s="1021"/>
      <c r="AT81" s="1021"/>
      <c r="AU81" s="1021"/>
      <c r="AV81" s="1021"/>
      <c r="AW81" s="1021"/>
      <c r="AX81" s="1021"/>
      <c r="AY81" s="1021"/>
    </row>
    <row r="82" spans="29:51" ht="12.75">
      <c r="AC82" s="957"/>
      <c r="AD82" s="957"/>
      <c r="AE82" s="957"/>
      <c r="AF82" s="957"/>
      <c r="AG82" s="957"/>
      <c r="AH82" s="957"/>
      <c r="AI82" s="957"/>
      <c r="AJ82" s="957"/>
      <c r="AK82" s="957"/>
      <c r="AL82" s="957"/>
      <c r="AM82" s="957"/>
      <c r="AN82" s="957"/>
      <c r="AO82" s="964"/>
      <c r="AP82" s="964"/>
      <c r="AQ82" s="957"/>
      <c r="AR82" s="957"/>
      <c r="AS82" s="957"/>
      <c r="AT82" s="957"/>
      <c r="AU82" s="957"/>
      <c r="AV82" s="957"/>
      <c r="AW82" s="957"/>
      <c r="AX82" s="957"/>
      <c r="AY82" s="957"/>
    </row>
    <row r="83" spans="6:51" ht="12.75">
      <c r="F83" s="958"/>
      <c r="G83" s="958"/>
      <c r="H83" s="958"/>
      <c r="I83" s="958"/>
      <c r="J83" s="958"/>
      <c r="K83" s="958"/>
      <c r="L83" s="958"/>
      <c r="M83" s="958"/>
      <c r="N83" s="958"/>
      <c r="O83" s="958"/>
      <c r="P83" s="958"/>
      <c r="Q83" s="958"/>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1199"/>
      <c r="AP83" s="1199"/>
      <c r="AQ83" s="958"/>
      <c r="AR83" s="958"/>
      <c r="AS83" s="958"/>
      <c r="AT83" s="958"/>
      <c r="AU83" s="958"/>
      <c r="AV83" s="958"/>
      <c r="AW83" s="958"/>
      <c r="AX83" s="958"/>
      <c r="AY83" s="958"/>
    </row>
    <row r="84" spans="29:50" ht="12.75">
      <c r="AC84" s="1202"/>
      <c r="AK84" s="1202"/>
      <c r="AL84" s="957"/>
      <c r="AM84" s="957"/>
      <c r="AN84" s="957"/>
      <c r="AW84" s="962"/>
      <c r="AX84" s="962"/>
    </row>
    <row r="85" spans="29:50" ht="12.75">
      <c r="AC85" s="962"/>
      <c r="AK85" s="1203"/>
      <c r="AL85" s="957"/>
      <c r="AM85" s="957"/>
      <c r="AN85" s="957"/>
      <c r="AW85" s="962"/>
      <c r="AX85" s="962"/>
    </row>
    <row r="86" spans="7:50" ht="12.75">
      <c r="G86" s="1204"/>
      <c r="K86" s="1204"/>
      <c r="AC86" s="962"/>
      <c r="AD86" s="962"/>
      <c r="AG86" s="962"/>
      <c r="AI86" s="962"/>
      <c r="AJ86" s="962"/>
      <c r="AK86" s="962"/>
      <c r="AL86" s="957"/>
      <c r="AM86" s="957"/>
      <c r="AN86" s="957"/>
      <c r="AW86" s="1205"/>
      <c r="AX86" s="1205"/>
    </row>
    <row r="87" spans="7:50" ht="12.75">
      <c r="G87" s="1204"/>
      <c r="K87" s="1204"/>
      <c r="AC87" s="1205"/>
      <c r="AD87" s="1206"/>
      <c r="AE87" s="1205"/>
      <c r="AF87" s="1205"/>
      <c r="AG87" s="1205"/>
      <c r="AH87" s="1207"/>
      <c r="AI87" s="1207"/>
      <c r="AJ87" s="1208"/>
      <c r="AK87" s="966"/>
      <c r="AL87" s="957"/>
      <c r="AM87" s="957"/>
      <c r="AN87" s="957"/>
      <c r="AW87" s="1205"/>
      <c r="AX87" s="1205"/>
    </row>
    <row r="88" spans="29:50" ht="12.75">
      <c r="AC88" s="1205"/>
      <c r="AD88" s="1205"/>
      <c r="AE88" s="1205"/>
      <c r="AF88" s="1205"/>
      <c r="AG88" s="1205"/>
      <c r="AH88" s="1209"/>
      <c r="AI88" s="1205"/>
      <c r="AJ88" s="1205"/>
      <c r="AK88" s="1205"/>
      <c r="AL88" s="957"/>
      <c r="AM88" s="957"/>
      <c r="AN88" s="957"/>
      <c r="AW88" s="1110"/>
      <c r="AX88" s="1110"/>
    </row>
    <row r="89" spans="29:50" ht="12.75">
      <c r="AC89" s="1110"/>
      <c r="AD89" s="1210"/>
      <c r="AE89" s="1107"/>
      <c r="AF89" s="1107"/>
      <c r="AG89" s="1107"/>
      <c r="AH89" s="1210"/>
      <c r="AI89" s="1107"/>
      <c r="AJ89" s="1107"/>
      <c r="AK89" s="1100"/>
      <c r="AL89" s="957"/>
      <c r="AM89" s="957"/>
      <c r="AN89" s="957"/>
      <c r="AW89" s="1107"/>
      <c r="AX89" s="1107"/>
    </row>
    <row r="90" spans="29:50" ht="12.75">
      <c r="AC90" s="1110"/>
      <c r="AD90" s="1107"/>
      <c r="AE90" s="1107"/>
      <c r="AF90" s="1107"/>
      <c r="AG90" s="1107"/>
      <c r="AH90" s="1107"/>
      <c r="AI90" s="1107"/>
      <c r="AJ90" s="1107"/>
      <c r="AK90" s="1100"/>
      <c r="AL90" s="957"/>
      <c r="AM90" s="957"/>
      <c r="AN90" s="957"/>
      <c r="AW90" s="1107"/>
      <c r="AX90" s="1107"/>
    </row>
    <row r="91" spans="29:50" ht="12.75">
      <c r="AC91" s="1110"/>
      <c r="AD91" s="1107"/>
      <c r="AE91" s="1107"/>
      <c r="AF91" s="1107"/>
      <c r="AG91" s="1107"/>
      <c r="AH91" s="1107"/>
      <c r="AI91" s="1107"/>
      <c r="AJ91" s="1107"/>
      <c r="AK91" s="1100"/>
      <c r="AL91" s="957"/>
      <c r="AM91" s="957"/>
      <c r="AN91" s="957"/>
      <c r="AW91" s="1107"/>
      <c r="AX91" s="1107"/>
    </row>
    <row r="92" spans="29:50" ht="12.75">
      <c r="AC92" s="1107"/>
      <c r="AD92" s="1107"/>
      <c r="AE92" s="1107"/>
      <c r="AF92" s="1107"/>
      <c r="AG92" s="1107"/>
      <c r="AH92" s="1107"/>
      <c r="AI92" s="1107"/>
      <c r="AJ92" s="1107"/>
      <c r="AK92" s="1107"/>
      <c r="AL92" s="957"/>
      <c r="AM92" s="957"/>
      <c r="AN92" s="957"/>
      <c r="AW92" s="1211"/>
      <c r="AX92" s="1211"/>
    </row>
    <row r="93" spans="29:50" ht="12.75">
      <c r="AC93" s="1211"/>
      <c r="AD93" s="1211"/>
      <c r="AE93" s="1211"/>
      <c r="AF93" s="1211"/>
      <c r="AG93" s="1211"/>
      <c r="AH93" s="1211"/>
      <c r="AI93" s="1211"/>
      <c r="AJ93" s="1211"/>
      <c r="AK93" s="1211"/>
      <c r="AL93" s="957"/>
      <c r="AM93" s="957"/>
      <c r="AN93" s="957"/>
      <c r="AW93" s="1211"/>
      <c r="AX93" s="1211"/>
    </row>
    <row r="94" spans="29:50" ht="12.75">
      <c r="AC94" s="1211"/>
      <c r="AD94" s="1211"/>
      <c r="AE94" s="1211"/>
      <c r="AF94" s="1211"/>
      <c r="AG94" s="1211"/>
      <c r="AH94" s="1211"/>
      <c r="AI94" s="1211"/>
      <c r="AJ94" s="1211"/>
      <c r="AK94" s="1211"/>
      <c r="AL94" s="957"/>
      <c r="AM94" s="957"/>
      <c r="AN94" s="957"/>
      <c r="AW94" s="957"/>
      <c r="AX94" s="957"/>
    </row>
    <row r="95" spans="29:50" ht="12.75">
      <c r="AC95" s="957"/>
      <c r="AD95" s="957"/>
      <c r="AE95" s="957"/>
      <c r="AF95" s="957"/>
      <c r="AG95" s="957"/>
      <c r="AH95" s="957"/>
      <c r="AI95" s="957"/>
      <c r="AJ95" s="957"/>
      <c r="AK95" s="957"/>
      <c r="AL95" s="957"/>
      <c r="AM95" s="957"/>
      <c r="AN95" s="957"/>
      <c r="AW95" s="957"/>
      <c r="AX95" s="957"/>
    </row>
    <row r="96" spans="29:50" ht="12.75">
      <c r="AC96" s="957"/>
      <c r="AD96" s="957"/>
      <c r="AE96" s="957"/>
      <c r="AF96" s="957"/>
      <c r="AG96" s="957"/>
      <c r="AH96" s="957"/>
      <c r="AI96" s="957"/>
      <c r="AJ96" s="957"/>
      <c r="AK96" s="957"/>
      <c r="AL96" s="957"/>
      <c r="AM96" s="957"/>
      <c r="AN96" s="957"/>
      <c r="AW96" s="957"/>
      <c r="AX96" s="957"/>
    </row>
    <row r="97" spans="29:50" ht="12.75">
      <c r="AC97" s="957"/>
      <c r="AD97" s="957"/>
      <c r="AE97" s="957"/>
      <c r="AF97" s="957"/>
      <c r="AG97" s="957"/>
      <c r="AH97" s="957"/>
      <c r="AI97" s="957"/>
      <c r="AJ97" s="957"/>
      <c r="AK97" s="957"/>
      <c r="AL97" s="957"/>
      <c r="AM97" s="957"/>
      <c r="AN97" s="957"/>
      <c r="AW97" s="957"/>
      <c r="AX97" s="957"/>
    </row>
    <row r="98" spans="29:50" ht="12.75">
      <c r="AC98" s="957"/>
      <c r="AD98" s="957"/>
      <c r="AE98" s="957"/>
      <c r="AF98" s="957"/>
      <c r="AG98" s="957"/>
      <c r="AH98" s="957"/>
      <c r="AI98" s="957"/>
      <c r="AJ98" s="957"/>
      <c r="AK98" s="957"/>
      <c r="AL98" s="957"/>
      <c r="AM98" s="957"/>
      <c r="AN98" s="957"/>
      <c r="AW98" s="957"/>
      <c r="AX98" s="957"/>
    </row>
    <row r="99" spans="29:40" ht="12.75">
      <c r="AC99" s="957"/>
      <c r="AD99" s="957"/>
      <c r="AE99" s="957"/>
      <c r="AF99" s="957"/>
      <c r="AG99" s="957"/>
      <c r="AH99" s="957"/>
      <c r="AI99" s="957"/>
      <c r="AJ99" s="957"/>
      <c r="AK99" s="957"/>
      <c r="AL99" s="957"/>
      <c r="AM99" s="957"/>
      <c r="AN99" s="957"/>
    </row>
  </sheetData>
  <sheetProtection/>
  <mergeCells count="11">
    <mergeCell ref="A35:B35"/>
    <mergeCell ref="A37:B37"/>
    <mergeCell ref="C53:D53"/>
    <mergeCell ref="AO53:AP53"/>
    <mergeCell ref="C64:D64"/>
    <mergeCell ref="C65:D65"/>
    <mergeCell ref="AO65:AP65"/>
    <mergeCell ref="C52:D52"/>
    <mergeCell ref="C10:D10"/>
    <mergeCell ref="C11:D11"/>
    <mergeCell ref="AO11:AP11"/>
  </mergeCells>
  <conditionalFormatting sqref="A50:A51 AE59:AK62 A71:A73 A63 A38:B42 AG41:AK46 AE41:AF45 AT41:AX46 AT59:AX62">
    <cfRule type="cellIs" priority="3" dxfId="0" operator="equal" stopIfTrue="1">
      <formula>0</formula>
    </cfRule>
  </conditionalFormatting>
  <conditionalFormatting sqref="AS59:AS62 AR41:AS46 AR59:AR61">
    <cfRule type="cellIs" priority="2" dxfId="0" operator="equal" stopIfTrue="1">
      <formula>0</formula>
    </cfRule>
  </conditionalFormatting>
  <conditionalFormatting sqref="AR6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5" r:id="rId2"/>
  <headerFooter alignWithMargins="0">
    <oddFooter>&amp;CPage 4</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I85"/>
  <sheetViews>
    <sheetView zoomScale="90" zoomScaleNormal="90" workbookViewId="0" topLeftCell="A1">
      <selection activeCell="A1" sqref="A1"/>
    </sheetView>
  </sheetViews>
  <sheetFormatPr defaultColWidth="9.140625" defaultRowHeight="12.75"/>
  <cols>
    <col min="1" max="1" width="2.7109375" style="956" customWidth="1"/>
    <col min="2" max="2" width="47.8515625" style="956" customWidth="1"/>
    <col min="3" max="3" width="10.7109375" style="956" customWidth="1"/>
    <col min="4" max="4" width="9.7109375" style="956" customWidth="1"/>
    <col min="5" max="5" width="1.57421875" style="957" customWidth="1"/>
    <col min="6" max="6" width="8.7109375" style="957" hidden="1" customWidth="1"/>
    <col min="7" max="15" width="8.7109375" style="957" customWidth="1"/>
    <col min="16" max="21" width="8.7109375" style="957" hidden="1" customWidth="1"/>
    <col min="22" max="28" width="9.7109375" style="957" hidden="1" customWidth="1"/>
    <col min="29" max="37" width="9.7109375" style="956" hidden="1" customWidth="1"/>
    <col min="38" max="38" width="1.57421875" style="956" customWidth="1"/>
    <col min="39" max="39" width="9.421875" style="956" customWidth="1"/>
    <col min="40" max="40" width="9.00390625" style="956" customWidth="1"/>
    <col min="41" max="42" width="9.7109375" style="959" customWidth="1"/>
    <col min="43" max="43" width="1.57421875" style="956" customWidth="1"/>
    <col min="44" max="48" width="9.7109375" style="956" customWidth="1"/>
    <col min="49" max="53" width="9.7109375" style="956" hidden="1" customWidth="1"/>
    <col min="54" max="54" width="1.57421875" style="956" customWidth="1"/>
    <col min="55" max="16384" width="9.140625" style="956" customWidth="1"/>
  </cols>
  <sheetData>
    <row r="1" ht="12.75"/>
    <row r="2" spans="7:25" ht="12.75">
      <c r="G2" s="958"/>
      <c r="H2" s="958"/>
      <c r="I2" s="958"/>
      <c r="L2" s="958"/>
      <c r="M2" s="958"/>
      <c r="P2" s="958"/>
      <c r="Q2" s="958"/>
      <c r="T2" s="958"/>
      <c r="U2" s="958"/>
      <c r="X2" s="958"/>
      <c r="Y2" s="958"/>
    </row>
    <row r="3" ht="12.75"/>
    <row r="4" ht="12.75"/>
    <row r="5" spans="1:31" ht="12.75">
      <c r="A5" s="957"/>
      <c r="B5" s="957"/>
      <c r="C5" s="957"/>
      <c r="D5" s="957"/>
      <c r="AC5" s="957"/>
      <c r="AD5" s="957"/>
      <c r="AE5" s="957"/>
    </row>
    <row r="6" spans="1:31" ht="18" customHeight="1">
      <c r="A6" s="1212" t="s">
        <v>466</v>
      </c>
      <c r="B6" s="957"/>
      <c r="C6" s="957"/>
      <c r="D6" s="957"/>
      <c r="AC6" s="957"/>
      <c r="AD6" s="957"/>
      <c r="AE6" s="957"/>
    </row>
    <row r="7" spans="1:40" ht="18" customHeight="1">
      <c r="A7" s="1212" t="s">
        <v>493</v>
      </c>
      <c r="B7" s="957"/>
      <c r="C7" s="957"/>
      <c r="D7" s="957"/>
      <c r="AC7" s="957"/>
      <c r="AD7" s="957"/>
      <c r="AE7" s="957"/>
      <c r="AN7" s="957"/>
    </row>
    <row r="8" spans="1:31" ht="18" customHeight="1">
      <c r="A8" s="960" t="s">
        <v>488</v>
      </c>
      <c r="B8" s="961"/>
      <c r="C8" s="961"/>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57"/>
      <c r="AD8" s="957"/>
      <c r="AE8" s="957"/>
    </row>
    <row r="9" spans="1:42" ht="9.75" customHeight="1">
      <c r="A9" s="962"/>
      <c r="B9" s="962"/>
      <c r="C9" s="962"/>
      <c r="D9" s="962"/>
      <c r="E9" s="962"/>
      <c r="F9" s="962"/>
      <c r="G9" s="963"/>
      <c r="H9" s="963"/>
      <c r="I9" s="962"/>
      <c r="J9" s="962"/>
      <c r="K9" s="962"/>
      <c r="L9" s="963"/>
      <c r="M9" s="962"/>
      <c r="N9" s="962"/>
      <c r="O9" s="962"/>
      <c r="P9" s="963"/>
      <c r="Q9" s="962"/>
      <c r="R9" s="963"/>
      <c r="S9" s="962"/>
      <c r="T9" s="963"/>
      <c r="U9" s="962"/>
      <c r="V9" s="963"/>
      <c r="W9" s="962"/>
      <c r="X9" s="963"/>
      <c r="Y9" s="962"/>
      <c r="Z9" s="963"/>
      <c r="AA9" s="962"/>
      <c r="AB9" s="962"/>
      <c r="AC9" s="957"/>
      <c r="AD9" s="957"/>
      <c r="AE9" s="957"/>
      <c r="AO9" s="964"/>
      <c r="AP9" s="964"/>
    </row>
    <row r="10" spans="1:54" ht="12.75">
      <c r="A10" s="965" t="s">
        <v>1</v>
      </c>
      <c r="B10" s="966"/>
      <c r="C10" s="1455" t="s">
        <v>497</v>
      </c>
      <c r="D10" s="1456"/>
      <c r="E10" s="967"/>
      <c r="F10" s="968"/>
      <c r="I10" s="969"/>
      <c r="J10" s="968"/>
      <c r="K10" s="968"/>
      <c r="M10" s="969"/>
      <c r="N10" s="968"/>
      <c r="O10" s="968"/>
      <c r="Q10" s="969"/>
      <c r="R10" s="968"/>
      <c r="S10" s="968"/>
      <c r="U10" s="969"/>
      <c r="V10" s="968"/>
      <c r="W10" s="968"/>
      <c r="Y10" s="969"/>
      <c r="AA10" s="968"/>
      <c r="AB10" s="968"/>
      <c r="AC10" s="969"/>
      <c r="AD10" s="968"/>
      <c r="AE10" s="968"/>
      <c r="AF10" s="968"/>
      <c r="AG10" s="968"/>
      <c r="AH10" s="970"/>
      <c r="AI10" s="969"/>
      <c r="AJ10" s="969"/>
      <c r="AK10" s="969"/>
      <c r="AL10" s="971"/>
      <c r="AM10" s="725" t="s">
        <v>406</v>
      </c>
      <c r="AN10" s="711"/>
      <c r="AO10" s="711" t="s">
        <v>480</v>
      </c>
      <c r="AP10" s="712"/>
      <c r="AQ10" s="972"/>
      <c r="AR10" s="973"/>
      <c r="AS10" s="973"/>
      <c r="AT10" s="973"/>
      <c r="AU10" s="973"/>
      <c r="AV10" s="973"/>
      <c r="AW10" s="970"/>
      <c r="AX10" s="974"/>
      <c r="AY10" s="973"/>
      <c r="AZ10" s="975"/>
      <c r="BA10" s="975"/>
      <c r="BB10" s="976"/>
    </row>
    <row r="11" spans="1:61" ht="13.5">
      <c r="A11" s="965" t="s">
        <v>2</v>
      </c>
      <c r="B11" s="966"/>
      <c r="C11" s="1447" t="s">
        <v>41</v>
      </c>
      <c r="D11" s="1448"/>
      <c r="E11" s="977"/>
      <c r="F11" s="978"/>
      <c r="G11" s="978" t="s">
        <v>430</v>
      </c>
      <c r="H11" s="978" t="s">
        <v>429</v>
      </c>
      <c r="I11" s="979" t="s">
        <v>427</v>
      </c>
      <c r="J11" s="978" t="s">
        <v>362</v>
      </c>
      <c r="K11" s="978" t="s">
        <v>363</v>
      </c>
      <c r="L11" s="978" t="s">
        <v>364</v>
      </c>
      <c r="M11" s="979" t="s">
        <v>365</v>
      </c>
      <c r="N11" s="978" t="s">
        <v>277</v>
      </c>
      <c r="O11" s="978" t="s">
        <v>278</v>
      </c>
      <c r="P11" s="978" t="s">
        <v>279</v>
      </c>
      <c r="Q11" s="979" t="s">
        <v>276</v>
      </c>
      <c r="R11" s="978" t="s">
        <v>222</v>
      </c>
      <c r="S11" s="978" t="s">
        <v>223</v>
      </c>
      <c r="T11" s="978" t="s">
        <v>224</v>
      </c>
      <c r="U11" s="979" t="s">
        <v>225</v>
      </c>
      <c r="V11" s="978" t="s">
        <v>141</v>
      </c>
      <c r="W11" s="978" t="s">
        <v>140</v>
      </c>
      <c r="X11" s="978" t="s">
        <v>139</v>
      </c>
      <c r="Y11" s="979" t="s">
        <v>138</v>
      </c>
      <c r="Z11" s="978" t="s">
        <v>91</v>
      </c>
      <c r="AA11" s="978" t="s">
        <v>92</v>
      </c>
      <c r="AB11" s="978" t="s">
        <v>93</v>
      </c>
      <c r="AC11" s="979" t="s">
        <v>32</v>
      </c>
      <c r="AD11" s="978" t="s">
        <v>33</v>
      </c>
      <c r="AE11" s="978" t="s">
        <v>34</v>
      </c>
      <c r="AF11" s="978" t="s">
        <v>35</v>
      </c>
      <c r="AG11" s="978" t="s">
        <v>36</v>
      </c>
      <c r="AH11" s="980" t="s">
        <v>37</v>
      </c>
      <c r="AI11" s="979" t="s">
        <v>38</v>
      </c>
      <c r="AJ11" s="979" t="s">
        <v>39</v>
      </c>
      <c r="AK11" s="979" t="s">
        <v>40</v>
      </c>
      <c r="AL11" s="967"/>
      <c r="AM11" s="21" t="s">
        <v>430</v>
      </c>
      <c r="AN11" s="21" t="s">
        <v>363</v>
      </c>
      <c r="AO11" s="1435" t="s">
        <v>41</v>
      </c>
      <c r="AP11" s="1436"/>
      <c r="AQ11" s="981"/>
      <c r="AR11" s="982" t="s">
        <v>367</v>
      </c>
      <c r="AS11" s="982" t="s">
        <v>285</v>
      </c>
      <c r="AT11" s="982" t="s">
        <v>143</v>
      </c>
      <c r="AU11" s="982" t="s">
        <v>142</v>
      </c>
      <c r="AV11" s="980" t="s">
        <v>45</v>
      </c>
      <c r="AW11" s="980" t="s">
        <v>42</v>
      </c>
      <c r="AX11" s="982" t="s">
        <v>43</v>
      </c>
      <c r="AY11" s="982" t="s">
        <v>165</v>
      </c>
      <c r="AZ11" s="982" t="s">
        <v>166</v>
      </c>
      <c r="BA11" s="982" t="s">
        <v>167</v>
      </c>
      <c r="BB11" s="976"/>
      <c r="BC11" s="957"/>
      <c r="BD11" s="957"/>
      <c r="BE11" s="957"/>
      <c r="BF11" s="957"/>
      <c r="BG11" s="957"/>
      <c r="BH11" s="957"/>
      <c r="BI11" s="957"/>
    </row>
    <row r="12" spans="1:61" s="1000" customFormat="1" ht="12.75">
      <c r="A12" s="965"/>
      <c r="B12" s="965"/>
      <c r="C12" s="983"/>
      <c r="D12" s="984"/>
      <c r="E12" s="985"/>
      <c r="F12" s="986"/>
      <c r="G12" s="986" t="s">
        <v>307</v>
      </c>
      <c r="H12" s="986" t="s">
        <v>307</v>
      </c>
      <c r="I12" s="987" t="s">
        <v>307</v>
      </c>
      <c r="J12" s="986" t="s">
        <v>307</v>
      </c>
      <c r="K12" s="986" t="s">
        <v>307</v>
      </c>
      <c r="L12" s="986" t="s">
        <v>307</v>
      </c>
      <c r="M12" s="987" t="s">
        <v>307</v>
      </c>
      <c r="N12" s="986" t="s">
        <v>307</v>
      </c>
      <c r="O12" s="986" t="s">
        <v>307</v>
      </c>
      <c r="P12" s="986" t="s">
        <v>307</v>
      </c>
      <c r="Q12" s="987" t="s">
        <v>307</v>
      </c>
      <c r="R12" s="986" t="s">
        <v>307</v>
      </c>
      <c r="S12" s="986" t="s">
        <v>307</v>
      </c>
      <c r="T12" s="986" t="s">
        <v>307</v>
      </c>
      <c r="U12" s="987" t="s">
        <v>307</v>
      </c>
      <c r="V12" s="986" t="s">
        <v>308</v>
      </c>
      <c r="W12" s="986" t="s">
        <v>308</v>
      </c>
      <c r="X12" s="986" t="s">
        <v>308</v>
      </c>
      <c r="Y12" s="987" t="s">
        <v>308</v>
      </c>
      <c r="Z12" s="988"/>
      <c r="AA12" s="988"/>
      <c r="AB12" s="988"/>
      <c r="AC12" s="989"/>
      <c r="AD12" s="988"/>
      <c r="AE12" s="988"/>
      <c r="AF12" s="988"/>
      <c r="AG12" s="988"/>
      <c r="AH12" s="990"/>
      <c r="AI12" s="989"/>
      <c r="AJ12" s="989"/>
      <c r="AK12" s="989"/>
      <c r="AL12" s="991"/>
      <c r="AM12" s="992" t="s">
        <v>307</v>
      </c>
      <c r="AN12" s="993" t="s">
        <v>307</v>
      </c>
      <c r="AO12" s="994"/>
      <c r="AP12" s="995"/>
      <c r="AQ12" s="996"/>
      <c r="AR12" s="997" t="s">
        <v>307</v>
      </c>
      <c r="AS12" s="997" t="s">
        <v>307</v>
      </c>
      <c r="AT12" s="997" t="s">
        <v>307</v>
      </c>
      <c r="AU12" s="997" t="s">
        <v>308</v>
      </c>
      <c r="AV12" s="997" t="s">
        <v>308</v>
      </c>
      <c r="AW12" s="997" t="s">
        <v>308</v>
      </c>
      <c r="AX12" s="997" t="s">
        <v>308</v>
      </c>
      <c r="AY12" s="997" t="s">
        <v>308</v>
      </c>
      <c r="AZ12" s="991"/>
      <c r="BA12" s="991"/>
      <c r="BB12" s="998"/>
      <c r="BC12" s="999"/>
      <c r="BD12" s="999"/>
      <c r="BE12" s="999"/>
      <c r="BF12" s="999"/>
      <c r="BG12" s="999"/>
      <c r="BH12" s="999"/>
      <c r="BI12" s="999"/>
    </row>
    <row r="13" spans="1:59" ht="12.75" customHeight="1">
      <c r="A13" s="1001" t="s">
        <v>68</v>
      </c>
      <c r="B13" s="1002"/>
      <c r="C13" s="1003"/>
      <c r="D13" s="1004"/>
      <c r="E13" s="1005"/>
      <c r="F13" s="1006"/>
      <c r="G13" s="1006"/>
      <c r="H13" s="1006"/>
      <c r="I13" s="1004"/>
      <c r="J13" s="1006"/>
      <c r="K13" s="1006"/>
      <c r="L13" s="1006"/>
      <c r="M13" s="1004"/>
      <c r="N13" s="1006"/>
      <c r="O13" s="1006"/>
      <c r="P13" s="1006"/>
      <c r="Q13" s="1004"/>
      <c r="R13" s="1006"/>
      <c r="S13" s="1006"/>
      <c r="T13" s="1006"/>
      <c r="U13" s="1004"/>
      <c r="V13" s="1006"/>
      <c r="W13" s="1006"/>
      <c r="X13" s="1006"/>
      <c r="Y13" s="1004"/>
      <c r="Z13" s="1006"/>
      <c r="AA13" s="1006"/>
      <c r="AB13" s="1006"/>
      <c r="AC13" s="1004"/>
      <c r="AD13" s="1007"/>
      <c r="AE13" s="1006"/>
      <c r="AF13" s="1006"/>
      <c r="AG13" s="1004"/>
      <c r="AH13" s="1003"/>
      <c r="AI13" s="1004"/>
      <c r="AJ13" s="1004"/>
      <c r="AK13" s="1004"/>
      <c r="AL13" s="1005"/>
      <c r="AM13" s="1006"/>
      <c r="AN13" s="1006"/>
      <c r="AO13" s="1008"/>
      <c r="AP13" s="1009"/>
      <c r="AQ13" s="1010"/>
      <c r="AR13" s="1005"/>
      <c r="AS13" s="1005"/>
      <c r="AT13" s="1005"/>
      <c r="AU13" s="1005"/>
      <c r="AV13" s="1005"/>
      <c r="AW13" s="1003"/>
      <c r="AX13" s="1005"/>
      <c r="AY13" s="1011"/>
      <c r="AZ13" s="1012"/>
      <c r="BA13" s="1012"/>
      <c r="BB13" s="976"/>
      <c r="BC13" s="957"/>
      <c r="BD13" s="957"/>
      <c r="BE13" s="957"/>
      <c r="BF13" s="957"/>
      <c r="BG13" s="957"/>
    </row>
    <row r="14" spans="1:59" ht="12.75" customHeight="1">
      <c r="A14" s="966"/>
      <c r="B14" s="1004" t="s">
        <v>326</v>
      </c>
      <c r="C14" s="1013">
        <v>21459</v>
      </c>
      <c r="D14" s="1014">
        <v>0.4849710721388537</v>
      </c>
      <c r="E14" s="1015"/>
      <c r="F14" s="1016"/>
      <c r="G14" s="1016">
        <v>65707</v>
      </c>
      <c r="H14" s="1016">
        <v>42936</v>
      </c>
      <c r="I14" s="1017">
        <v>40489</v>
      </c>
      <c r="J14" s="1016">
        <v>45552</v>
      </c>
      <c r="K14" s="240">
        <v>44248</v>
      </c>
      <c r="L14" s="1016">
        <v>39034</v>
      </c>
      <c r="M14" s="1017">
        <v>29220</v>
      </c>
      <c r="N14" s="1016">
        <v>19861</v>
      </c>
      <c r="O14" s="240">
        <v>12748</v>
      </c>
      <c r="P14" s="240">
        <v>9338</v>
      </c>
      <c r="Q14" s="241">
        <v>9246</v>
      </c>
      <c r="R14" s="240">
        <v>34555</v>
      </c>
      <c r="S14" s="240">
        <v>23339</v>
      </c>
      <c r="T14" s="240">
        <v>18338</v>
      </c>
      <c r="U14" s="238"/>
      <c r="V14" s="1016"/>
      <c r="W14" s="1016"/>
      <c r="X14" s="1018"/>
      <c r="Y14" s="1017"/>
      <c r="Z14" s="1019"/>
      <c r="AA14" s="1019"/>
      <c r="AB14" s="1019"/>
      <c r="AC14" s="1017"/>
      <c r="AD14" s="1020"/>
      <c r="AE14" s="1021"/>
      <c r="AF14" s="1021"/>
      <c r="AG14" s="1022"/>
      <c r="AH14" s="1023"/>
      <c r="AI14" s="1022"/>
      <c r="AJ14" s="1022"/>
      <c r="AK14" s="1022"/>
      <c r="AL14" s="1005"/>
      <c r="AM14" s="1016">
        <v>149132</v>
      </c>
      <c r="AN14" s="1016">
        <v>112502</v>
      </c>
      <c r="AO14" s="1024">
        <v>36630</v>
      </c>
      <c r="AP14" s="1014">
        <v>0.3255942116584594</v>
      </c>
      <c r="AQ14" s="1010"/>
      <c r="AR14" s="1128">
        <v>158054</v>
      </c>
      <c r="AS14" s="1128">
        <v>51193</v>
      </c>
      <c r="AT14" s="1213">
        <v>92677</v>
      </c>
      <c r="AU14" s="201">
        <v>82454</v>
      </c>
      <c r="AV14" s="201">
        <v>72926</v>
      </c>
      <c r="AW14" s="201">
        <v>118332</v>
      </c>
      <c r="AX14" s="1025">
        <v>187562</v>
      </c>
      <c r="AY14" s="1011">
        <v>150470</v>
      </c>
      <c r="AZ14" s="1011">
        <v>95559</v>
      </c>
      <c r="BA14" s="1011"/>
      <c r="BB14" s="957"/>
      <c r="BC14" s="957"/>
      <c r="BD14" s="957"/>
      <c r="BE14" s="957"/>
      <c r="BF14" s="957"/>
      <c r="BG14" s="957"/>
    </row>
    <row r="15" spans="1:59" ht="12.75" customHeight="1">
      <c r="A15" s="1002"/>
      <c r="B15" s="966"/>
      <c r="C15" s="1026">
        <v>21459</v>
      </c>
      <c r="D15" s="1027">
        <v>0.4849710721388537</v>
      </c>
      <c r="E15" s="1015"/>
      <c r="F15" s="1016"/>
      <c r="G15" s="1016">
        <v>65707</v>
      </c>
      <c r="H15" s="1016">
        <v>42936</v>
      </c>
      <c r="I15" s="1028">
        <v>40489</v>
      </c>
      <c r="J15" s="1016">
        <v>45552</v>
      </c>
      <c r="K15" s="1016">
        <v>44248</v>
      </c>
      <c r="L15" s="1016">
        <v>39034</v>
      </c>
      <c r="M15" s="1028">
        <v>29220</v>
      </c>
      <c r="N15" s="1016">
        <v>19861</v>
      </c>
      <c r="O15" s="1016">
        <v>12748</v>
      </c>
      <c r="P15" s="1016">
        <v>9338</v>
      </c>
      <c r="Q15" s="1046">
        <v>9246</v>
      </c>
      <c r="R15" s="1016">
        <v>34555</v>
      </c>
      <c r="S15" s="1016">
        <v>23339</v>
      </c>
      <c r="T15" s="1016">
        <v>18338</v>
      </c>
      <c r="U15" s="1028"/>
      <c r="V15" s="1016"/>
      <c r="W15" s="1016"/>
      <c r="X15" s="1016"/>
      <c r="Y15" s="1028"/>
      <c r="Z15" s="1029"/>
      <c r="AA15" s="1029"/>
      <c r="AB15" s="1029"/>
      <c r="AC15" s="1028"/>
      <c r="AD15" s="1029"/>
      <c r="AE15" s="1029"/>
      <c r="AF15" s="1029"/>
      <c r="AG15" s="1029"/>
      <c r="AH15" s="1030"/>
      <c r="AI15" s="1028"/>
      <c r="AJ15" s="1028"/>
      <c r="AK15" s="1028"/>
      <c r="AL15" s="1005"/>
      <c r="AM15" s="1016">
        <v>149132</v>
      </c>
      <c r="AN15" s="1016">
        <v>112502</v>
      </c>
      <c r="AO15" s="1031">
        <v>36630</v>
      </c>
      <c r="AP15" s="1027">
        <v>0.3255942116584594</v>
      </c>
      <c r="AQ15" s="1010"/>
      <c r="AR15" s="1032">
        <v>158054</v>
      </c>
      <c r="AS15" s="1032">
        <v>51193</v>
      </c>
      <c r="AT15" s="1032">
        <v>92677</v>
      </c>
      <c r="AU15" s="1032">
        <v>82454</v>
      </c>
      <c r="AV15" s="1032">
        <v>72926</v>
      </c>
      <c r="AW15" s="1032">
        <v>118332</v>
      </c>
      <c r="AX15" s="1032">
        <v>187562</v>
      </c>
      <c r="AY15" s="1033">
        <v>150470</v>
      </c>
      <c r="AZ15" s="1033">
        <v>95559</v>
      </c>
      <c r="BA15" s="1033">
        <v>211758</v>
      </c>
      <c r="BB15" s="957"/>
      <c r="BD15" s="957"/>
      <c r="BE15" s="957"/>
      <c r="BF15" s="957"/>
      <c r="BG15" s="957"/>
    </row>
    <row r="16" spans="1:59" ht="12.75" customHeight="1">
      <c r="A16" s="1001" t="s">
        <v>5</v>
      </c>
      <c r="B16" s="966"/>
      <c r="C16" s="1013"/>
      <c r="D16" s="1014"/>
      <c r="E16" s="1015"/>
      <c r="F16" s="1019"/>
      <c r="G16" s="1019"/>
      <c r="H16" s="1019"/>
      <c r="I16" s="1017"/>
      <c r="J16" s="1019"/>
      <c r="K16" s="1034"/>
      <c r="L16" s="1019"/>
      <c r="M16" s="1017"/>
      <c r="N16" s="1019"/>
      <c r="O16" s="1034"/>
      <c r="P16" s="1019"/>
      <c r="Q16" s="1017"/>
      <c r="R16" s="1019"/>
      <c r="S16" s="1034"/>
      <c r="T16" s="1019"/>
      <c r="U16" s="1017"/>
      <c r="V16" s="1019"/>
      <c r="W16" s="1034"/>
      <c r="X16" s="1019"/>
      <c r="Y16" s="1017"/>
      <c r="Z16" s="1034"/>
      <c r="AA16" s="1034"/>
      <c r="AB16" s="1034"/>
      <c r="AC16" s="1035"/>
      <c r="AD16" s="1036"/>
      <c r="AE16" s="1036"/>
      <c r="AF16" s="1036"/>
      <c r="AG16" s="1036"/>
      <c r="AH16" s="1037"/>
      <c r="AI16" s="1017"/>
      <c r="AJ16" s="1017"/>
      <c r="AK16" s="1017"/>
      <c r="AL16" s="1005"/>
      <c r="AM16" s="1019"/>
      <c r="AN16" s="1019"/>
      <c r="AO16" s="1024"/>
      <c r="AP16" s="1014"/>
      <c r="AQ16" s="1010"/>
      <c r="AR16" s="1038"/>
      <c r="AS16" s="1038"/>
      <c r="AT16" s="1038"/>
      <c r="AU16" s="1038"/>
      <c r="AV16" s="1038"/>
      <c r="AW16" s="1025"/>
      <c r="AX16" s="1025"/>
      <c r="AY16" s="1039"/>
      <c r="AZ16" s="1039"/>
      <c r="BA16" s="1039"/>
      <c r="BB16" s="957"/>
      <c r="BD16" s="957"/>
      <c r="BE16" s="957"/>
      <c r="BF16" s="957"/>
      <c r="BG16" s="957"/>
    </row>
    <row r="17" spans="1:59" ht="12.75" customHeight="1">
      <c r="A17" s="1001"/>
      <c r="B17" s="966" t="s">
        <v>458</v>
      </c>
      <c r="C17" s="1013">
        <v>8919</v>
      </c>
      <c r="D17" s="1014">
        <v>0.4323944344790808</v>
      </c>
      <c r="E17" s="1015"/>
      <c r="F17" s="1019"/>
      <c r="G17" s="1019">
        <v>29546</v>
      </c>
      <c r="H17" s="1019">
        <v>20354</v>
      </c>
      <c r="I17" s="1214">
        <v>15804</v>
      </c>
      <c r="J17" s="1019">
        <v>23564</v>
      </c>
      <c r="K17" s="1019">
        <v>20627</v>
      </c>
      <c r="L17" s="1019">
        <v>21105</v>
      </c>
      <c r="M17" s="1214">
        <v>11868</v>
      </c>
      <c r="N17" s="1019">
        <v>16143</v>
      </c>
      <c r="O17" s="1019">
        <v>5356</v>
      </c>
      <c r="P17" s="1019">
        <v>5606</v>
      </c>
      <c r="Q17" s="1017">
        <v>5085</v>
      </c>
      <c r="R17" s="1019">
        <v>17779</v>
      </c>
      <c r="S17" s="1019">
        <v>11299</v>
      </c>
      <c r="T17" s="1019">
        <v>9187</v>
      </c>
      <c r="U17" s="1017"/>
      <c r="V17" s="1019"/>
      <c r="W17" s="1019"/>
      <c r="X17" s="1019"/>
      <c r="Y17" s="1017"/>
      <c r="Z17" s="1019"/>
      <c r="AA17" s="1019"/>
      <c r="AB17" s="1019"/>
      <c r="AC17" s="1017"/>
      <c r="AD17" s="1036"/>
      <c r="AE17" s="1036"/>
      <c r="AF17" s="1036"/>
      <c r="AG17" s="1036"/>
      <c r="AH17" s="1037"/>
      <c r="AI17" s="1017"/>
      <c r="AJ17" s="1017"/>
      <c r="AK17" s="1017"/>
      <c r="AL17" s="1005"/>
      <c r="AM17" s="1019">
        <v>65704</v>
      </c>
      <c r="AN17" s="1019">
        <v>53600</v>
      </c>
      <c r="AO17" s="1024">
        <v>12104</v>
      </c>
      <c r="AP17" s="1014">
        <v>0.22582089552238807</v>
      </c>
      <c r="AQ17" s="1010"/>
      <c r="AR17" s="1128">
        <v>77164</v>
      </c>
      <c r="AS17" s="1128">
        <v>32190</v>
      </c>
      <c r="AT17" s="1128">
        <v>45538</v>
      </c>
      <c r="AU17" s="1128">
        <v>42535</v>
      </c>
      <c r="AV17" s="1128">
        <v>34016</v>
      </c>
      <c r="AW17" s="1128">
        <v>57211</v>
      </c>
      <c r="AX17" s="1025"/>
      <c r="AY17" s="1039"/>
      <c r="AZ17" s="1039"/>
      <c r="BA17" s="1039"/>
      <c r="BB17" s="957"/>
      <c r="BD17" s="957"/>
      <c r="BE17" s="957"/>
      <c r="BF17" s="957"/>
      <c r="BG17" s="957"/>
    </row>
    <row r="18" spans="1:59" ht="12.75" customHeight="1">
      <c r="A18" s="1001"/>
      <c r="B18" s="966" t="s">
        <v>459</v>
      </c>
      <c r="C18" s="1043">
        <v>638</v>
      </c>
      <c r="D18" s="1044">
        <v>0.1925747057047993</v>
      </c>
      <c r="E18" s="1015"/>
      <c r="F18" s="1045"/>
      <c r="G18" s="859">
        <v>3951</v>
      </c>
      <c r="H18" s="859">
        <v>1085</v>
      </c>
      <c r="I18" s="1046">
        <v>2323</v>
      </c>
      <c r="J18" s="1045">
        <v>3356</v>
      </c>
      <c r="K18" s="1045">
        <v>3313</v>
      </c>
      <c r="L18" s="1045">
        <v>3095</v>
      </c>
      <c r="M18" s="1046">
        <v>6575</v>
      </c>
      <c r="N18" s="1045">
        <v>-1761</v>
      </c>
      <c r="O18" s="1045">
        <v>1073</v>
      </c>
      <c r="P18" s="1045">
        <v>855</v>
      </c>
      <c r="Q18" s="1046">
        <v>1124</v>
      </c>
      <c r="R18" s="1045">
        <v>-521</v>
      </c>
      <c r="S18" s="1045">
        <v>1670</v>
      </c>
      <c r="T18" s="1045">
        <v>466</v>
      </c>
      <c r="U18" s="1017"/>
      <c r="V18" s="1019"/>
      <c r="W18" s="1019"/>
      <c r="X18" s="1019"/>
      <c r="Y18" s="1017"/>
      <c r="Z18" s="1019"/>
      <c r="AA18" s="1019"/>
      <c r="AB18" s="1019"/>
      <c r="AC18" s="1017"/>
      <c r="AD18" s="1036"/>
      <c r="AE18" s="1036"/>
      <c r="AF18" s="1036"/>
      <c r="AG18" s="1036"/>
      <c r="AH18" s="1037"/>
      <c r="AI18" s="1017"/>
      <c r="AJ18" s="1017"/>
      <c r="AK18" s="1017"/>
      <c r="AL18" s="1005"/>
      <c r="AM18" s="1045">
        <v>7359</v>
      </c>
      <c r="AN18" s="1045">
        <v>12983</v>
      </c>
      <c r="AO18" s="1047">
        <v>-5624</v>
      </c>
      <c r="AP18" s="1044">
        <v>-0.4331818531926365</v>
      </c>
      <c r="AQ18" s="1010"/>
      <c r="AR18" s="1141">
        <v>16339</v>
      </c>
      <c r="AS18" s="1141">
        <v>1291</v>
      </c>
      <c r="AT18" s="1141">
        <v>2379</v>
      </c>
      <c r="AU18" s="1141">
        <v>3440</v>
      </c>
      <c r="AV18" s="1141">
        <v>1964</v>
      </c>
      <c r="AW18" s="1141">
        <v>4067</v>
      </c>
      <c r="AX18" s="1025"/>
      <c r="AY18" s="1039"/>
      <c r="AZ18" s="1039"/>
      <c r="BA18" s="1039"/>
      <c r="BB18" s="957"/>
      <c r="BD18" s="957"/>
      <c r="BE18" s="957"/>
      <c r="BF18" s="957"/>
      <c r="BG18" s="957"/>
    </row>
    <row r="19" spans="1:59" ht="12.75" customHeight="1">
      <c r="A19" s="1002"/>
      <c r="B19" s="166" t="s">
        <v>261</v>
      </c>
      <c r="C19" s="1013">
        <v>9557</v>
      </c>
      <c r="D19" s="1014">
        <v>0.39920634920634923</v>
      </c>
      <c r="E19" s="1015"/>
      <c r="F19" s="234"/>
      <c r="G19" s="1019">
        <v>33497</v>
      </c>
      <c r="H19" s="1019">
        <v>21439</v>
      </c>
      <c r="I19" s="1017">
        <v>18127</v>
      </c>
      <c r="J19" s="234">
        <v>26920</v>
      </c>
      <c r="K19" s="234">
        <v>23940</v>
      </c>
      <c r="L19" s="1019">
        <v>24200</v>
      </c>
      <c r="M19" s="1017">
        <v>18443</v>
      </c>
      <c r="N19" s="1019">
        <v>14382</v>
      </c>
      <c r="O19" s="234">
        <v>6429</v>
      </c>
      <c r="P19" s="234">
        <v>6461</v>
      </c>
      <c r="Q19" s="238">
        <v>6209</v>
      </c>
      <c r="R19" s="234">
        <v>17258</v>
      </c>
      <c r="S19" s="234">
        <v>12969</v>
      </c>
      <c r="T19" s="234">
        <v>9652</v>
      </c>
      <c r="U19" s="238"/>
      <c r="V19" s="1019"/>
      <c r="W19" s="1019"/>
      <c r="X19" s="1019"/>
      <c r="Y19" s="1017"/>
      <c r="Z19" s="1019"/>
      <c r="AA19" s="1019"/>
      <c r="AB19" s="1019"/>
      <c r="AC19" s="1017"/>
      <c r="AD19" s="1036"/>
      <c r="AE19" s="1036"/>
      <c r="AF19" s="1036"/>
      <c r="AG19" s="1036"/>
      <c r="AH19" s="1037"/>
      <c r="AI19" s="1017"/>
      <c r="AJ19" s="1017"/>
      <c r="AK19" s="1017"/>
      <c r="AL19" s="1005"/>
      <c r="AM19" s="1019">
        <v>73063</v>
      </c>
      <c r="AN19" s="1036">
        <v>66583</v>
      </c>
      <c r="AO19" s="1024">
        <v>6480</v>
      </c>
      <c r="AP19" s="1014">
        <v>0.09732213928480243</v>
      </c>
      <c r="AQ19" s="1010"/>
      <c r="AR19" s="1128">
        <v>93503</v>
      </c>
      <c r="AS19" s="1128">
        <v>33481</v>
      </c>
      <c r="AT19" s="1213">
        <v>47917</v>
      </c>
      <c r="AU19" s="201">
        <v>45975</v>
      </c>
      <c r="AV19" s="201">
        <v>35980</v>
      </c>
      <c r="AW19" s="201">
        <v>61278</v>
      </c>
      <c r="AX19" s="1025">
        <v>98642</v>
      </c>
      <c r="AY19" s="1039">
        <v>82259</v>
      </c>
      <c r="AZ19" s="1039">
        <v>47759</v>
      </c>
      <c r="BA19" s="1039">
        <v>120298</v>
      </c>
      <c r="BB19" s="957"/>
      <c r="BD19" s="957"/>
      <c r="BE19" s="957"/>
      <c r="BF19" s="957"/>
      <c r="BG19" s="957"/>
    </row>
    <row r="20" spans="1:59" ht="13.5" customHeight="1">
      <c r="A20" s="1002"/>
      <c r="B20" s="1004" t="s">
        <v>74</v>
      </c>
      <c r="C20" s="1013">
        <v>524</v>
      </c>
      <c r="D20" s="1014">
        <v>0.13202317964222726</v>
      </c>
      <c r="E20" s="1015"/>
      <c r="F20" s="1019"/>
      <c r="G20" s="1019">
        <v>4493</v>
      </c>
      <c r="H20" s="1019">
        <v>3714</v>
      </c>
      <c r="I20" s="1017">
        <v>4159</v>
      </c>
      <c r="J20" s="1019">
        <v>4026</v>
      </c>
      <c r="K20" s="234">
        <v>3969</v>
      </c>
      <c r="L20" s="1019">
        <v>3480</v>
      </c>
      <c r="M20" s="1017">
        <v>4118</v>
      </c>
      <c r="N20" s="1019">
        <v>1739</v>
      </c>
      <c r="O20" s="234">
        <v>1253</v>
      </c>
      <c r="P20" s="234">
        <v>1213</v>
      </c>
      <c r="Q20" s="238">
        <v>1267</v>
      </c>
      <c r="R20" s="234">
        <v>1248</v>
      </c>
      <c r="S20" s="234">
        <v>1303</v>
      </c>
      <c r="T20" s="234">
        <v>1255</v>
      </c>
      <c r="U20" s="238"/>
      <c r="V20" s="1019"/>
      <c r="W20" s="1019"/>
      <c r="X20" s="1019"/>
      <c r="Y20" s="1017"/>
      <c r="Z20" s="1019"/>
      <c r="AA20" s="1019"/>
      <c r="AB20" s="1019"/>
      <c r="AC20" s="1017"/>
      <c r="AD20" s="1036"/>
      <c r="AE20" s="1036"/>
      <c r="AF20" s="1036"/>
      <c r="AG20" s="1036"/>
      <c r="AH20" s="1037"/>
      <c r="AI20" s="1017"/>
      <c r="AJ20" s="1017"/>
      <c r="AK20" s="1017"/>
      <c r="AL20" s="1005"/>
      <c r="AM20" s="1019">
        <v>12366</v>
      </c>
      <c r="AN20" s="1019">
        <v>11567</v>
      </c>
      <c r="AO20" s="1024">
        <v>799</v>
      </c>
      <c r="AP20" s="1014">
        <v>0.06907581914065877</v>
      </c>
      <c r="AQ20" s="1010"/>
      <c r="AR20" s="1128">
        <v>15593</v>
      </c>
      <c r="AS20" s="1128">
        <v>5472</v>
      </c>
      <c r="AT20" s="43">
        <v>5048</v>
      </c>
      <c r="AU20" s="43">
        <v>6445</v>
      </c>
      <c r="AV20" s="201">
        <v>5563</v>
      </c>
      <c r="AW20" s="201">
        <v>4547</v>
      </c>
      <c r="AX20" s="1025">
        <v>1847</v>
      </c>
      <c r="AY20" s="1039">
        <v>2414</v>
      </c>
      <c r="AZ20" s="1039">
        <v>6699</v>
      </c>
      <c r="BA20" s="1039">
        <v>12517</v>
      </c>
      <c r="BB20" s="957"/>
      <c r="BD20" s="957"/>
      <c r="BE20" s="957"/>
      <c r="BF20" s="957"/>
      <c r="BG20" s="957"/>
    </row>
    <row r="21" spans="1:59" ht="12.75" customHeight="1">
      <c r="A21" s="1002"/>
      <c r="B21" s="1004" t="s">
        <v>104</v>
      </c>
      <c r="C21" s="1013">
        <v>336</v>
      </c>
      <c r="D21" s="1055">
        <v>0.6375711574952562</v>
      </c>
      <c r="E21" s="1015"/>
      <c r="F21" s="1019"/>
      <c r="G21" s="1019">
        <v>863</v>
      </c>
      <c r="H21" s="1019">
        <v>945</v>
      </c>
      <c r="I21" s="1017">
        <v>1041</v>
      </c>
      <c r="J21" s="1019">
        <v>634</v>
      </c>
      <c r="K21" s="234">
        <v>527</v>
      </c>
      <c r="L21" s="1019">
        <v>624</v>
      </c>
      <c r="M21" s="1017">
        <v>872</v>
      </c>
      <c r="N21" s="1019">
        <v>657</v>
      </c>
      <c r="O21" s="234">
        <v>809</v>
      </c>
      <c r="P21" s="234">
        <v>940</v>
      </c>
      <c r="Q21" s="238">
        <v>1024</v>
      </c>
      <c r="R21" s="234">
        <v>983</v>
      </c>
      <c r="S21" s="234">
        <v>870</v>
      </c>
      <c r="T21" s="234">
        <v>841</v>
      </c>
      <c r="U21" s="238"/>
      <c r="V21" s="1019"/>
      <c r="W21" s="1019"/>
      <c r="X21" s="1019"/>
      <c r="Y21" s="1017"/>
      <c r="Z21" s="1019"/>
      <c r="AA21" s="1019"/>
      <c r="AB21" s="1019"/>
      <c r="AC21" s="1017"/>
      <c r="AD21" s="1036"/>
      <c r="AE21" s="1036"/>
      <c r="AF21" s="1036"/>
      <c r="AG21" s="1036"/>
      <c r="AH21" s="1037"/>
      <c r="AI21" s="1017"/>
      <c r="AJ21" s="1017"/>
      <c r="AK21" s="1017"/>
      <c r="AL21" s="1005"/>
      <c r="AM21" s="1019">
        <v>2849</v>
      </c>
      <c r="AN21" s="1019">
        <v>2023</v>
      </c>
      <c r="AO21" s="1024">
        <v>826</v>
      </c>
      <c r="AP21" s="1014">
        <v>0.4083044982698962</v>
      </c>
      <c r="AQ21" s="1010"/>
      <c r="AR21" s="1128">
        <v>2657</v>
      </c>
      <c r="AS21" s="1128">
        <v>3430</v>
      </c>
      <c r="AT21" s="43">
        <v>3514</v>
      </c>
      <c r="AU21" s="43">
        <v>3552</v>
      </c>
      <c r="AV21" s="201">
        <v>2941</v>
      </c>
      <c r="AW21" s="201">
        <v>2179</v>
      </c>
      <c r="AX21" s="1025">
        <v>2191</v>
      </c>
      <c r="AY21" s="1039">
        <v>2896</v>
      </c>
      <c r="AZ21" s="1039">
        <v>1887</v>
      </c>
      <c r="BA21" s="1039">
        <v>3440</v>
      </c>
      <c r="BB21" s="957"/>
      <c r="BD21" s="957"/>
      <c r="BE21" s="957"/>
      <c r="BF21" s="957"/>
      <c r="BG21" s="957"/>
    </row>
    <row r="22" spans="1:59" ht="12.75" customHeight="1">
      <c r="A22" s="1002"/>
      <c r="B22" s="1004" t="s">
        <v>76</v>
      </c>
      <c r="C22" s="1013">
        <v>138</v>
      </c>
      <c r="D22" s="1055">
        <v>0.049005681818181816</v>
      </c>
      <c r="E22" s="1015"/>
      <c r="F22" s="1019"/>
      <c r="G22" s="1019">
        <v>2954</v>
      </c>
      <c r="H22" s="1019">
        <v>2769</v>
      </c>
      <c r="I22" s="1017">
        <v>2426</v>
      </c>
      <c r="J22" s="1019">
        <v>3021</v>
      </c>
      <c r="K22" s="234">
        <v>2816</v>
      </c>
      <c r="L22" s="1019">
        <v>3028</v>
      </c>
      <c r="M22" s="1017">
        <v>3158</v>
      </c>
      <c r="N22" s="1019">
        <v>1234</v>
      </c>
      <c r="O22" s="234">
        <v>861</v>
      </c>
      <c r="P22" s="234">
        <v>875</v>
      </c>
      <c r="Q22" s="238">
        <v>960</v>
      </c>
      <c r="R22" s="234">
        <v>855</v>
      </c>
      <c r="S22" s="234">
        <v>870</v>
      </c>
      <c r="T22" s="234">
        <v>875</v>
      </c>
      <c r="U22" s="238"/>
      <c r="V22" s="1019"/>
      <c r="W22" s="1019"/>
      <c r="X22" s="1019"/>
      <c r="Y22" s="1017"/>
      <c r="Z22" s="1019"/>
      <c r="AA22" s="1019"/>
      <c r="AB22" s="1019"/>
      <c r="AC22" s="1017"/>
      <c r="AD22" s="1036"/>
      <c r="AE22" s="1036"/>
      <c r="AF22" s="1036"/>
      <c r="AG22" s="1036"/>
      <c r="AH22" s="1037"/>
      <c r="AI22" s="1017"/>
      <c r="AJ22" s="1017"/>
      <c r="AK22" s="1017"/>
      <c r="AL22" s="1005"/>
      <c r="AM22" s="1019">
        <v>8149</v>
      </c>
      <c r="AN22" s="1019">
        <v>9002</v>
      </c>
      <c r="AO22" s="1024">
        <v>-853</v>
      </c>
      <c r="AP22" s="1014">
        <v>-0.09475672072872696</v>
      </c>
      <c r="AQ22" s="1010"/>
      <c r="AR22" s="1128">
        <v>12023</v>
      </c>
      <c r="AS22" s="1128">
        <v>3930</v>
      </c>
      <c r="AT22" s="43">
        <v>3474</v>
      </c>
      <c r="AU22" s="43">
        <v>3842</v>
      </c>
      <c r="AV22" s="201">
        <v>4046</v>
      </c>
      <c r="AW22" s="201">
        <v>3227</v>
      </c>
      <c r="AX22" s="1025">
        <v>3000</v>
      </c>
      <c r="AY22" s="1039">
        <v>2293</v>
      </c>
      <c r="AZ22" s="1039">
        <v>1365</v>
      </c>
      <c r="BA22" s="1039">
        <v>4236</v>
      </c>
      <c r="BB22" s="957"/>
      <c r="BD22" s="957"/>
      <c r="BE22" s="957"/>
      <c r="BF22" s="957"/>
      <c r="BG22" s="957"/>
    </row>
    <row r="23" spans="1:59" ht="12.75" customHeight="1">
      <c r="A23" s="1002"/>
      <c r="B23" s="1004" t="s">
        <v>77</v>
      </c>
      <c r="C23" s="1013">
        <v>-313</v>
      </c>
      <c r="D23" s="1055">
        <v>-0.10003195909236177</v>
      </c>
      <c r="E23" s="1015"/>
      <c r="F23" s="1019"/>
      <c r="G23" s="1019">
        <v>2816</v>
      </c>
      <c r="H23" s="1019">
        <v>2586</v>
      </c>
      <c r="I23" s="1017">
        <v>2394</v>
      </c>
      <c r="J23" s="1019">
        <v>2901</v>
      </c>
      <c r="K23" s="234">
        <v>3129</v>
      </c>
      <c r="L23" s="1019">
        <v>2870</v>
      </c>
      <c r="M23" s="1017">
        <v>5139</v>
      </c>
      <c r="N23" s="1019">
        <v>1661</v>
      </c>
      <c r="O23" s="234">
        <v>1399</v>
      </c>
      <c r="P23" s="234">
        <v>1479</v>
      </c>
      <c r="Q23" s="238">
        <v>1345</v>
      </c>
      <c r="R23" s="234">
        <v>1313</v>
      </c>
      <c r="S23" s="234">
        <v>1310</v>
      </c>
      <c r="T23" s="234">
        <v>1340</v>
      </c>
      <c r="U23" s="238"/>
      <c r="V23" s="1019"/>
      <c r="W23" s="1019"/>
      <c r="X23" s="1019"/>
      <c r="Y23" s="1017"/>
      <c r="Z23" s="1019"/>
      <c r="AA23" s="1019"/>
      <c r="AB23" s="1019"/>
      <c r="AC23" s="1017"/>
      <c r="AD23" s="1036"/>
      <c r="AE23" s="1036"/>
      <c r="AF23" s="1036"/>
      <c r="AG23" s="1036"/>
      <c r="AH23" s="1037"/>
      <c r="AI23" s="1017"/>
      <c r="AJ23" s="1017"/>
      <c r="AK23" s="1017"/>
      <c r="AL23" s="1005"/>
      <c r="AM23" s="1019">
        <v>7796</v>
      </c>
      <c r="AN23" s="1019">
        <v>11138</v>
      </c>
      <c r="AO23" s="1024">
        <v>-3342</v>
      </c>
      <c r="AP23" s="1014">
        <v>-0.30005386963548214</v>
      </c>
      <c r="AQ23" s="1010"/>
      <c r="AR23" s="1128">
        <v>14039</v>
      </c>
      <c r="AS23" s="1128">
        <v>5884</v>
      </c>
      <c r="AT23" s="43">
        <v>5143</v>
      </c>
      <c r="AU23" s="43">
        <v>2433</v>
      </c>
      <c r="AV23" s="201">
        <v>2049</v>
      </c>
      <c r="AW23" s="201">
        <v>2816</v>
      </c>
      <c r="AX23" s="1025">
        <v>3930</v>
      </c>
      <c r="AY23" s="1039">
        <v>2980</v>
      </c>
      <c r="AZ23" s="1039">
        <v>2274</v>
      </c>
      <c r="BA23" s="1039">
        <v>4205</v>
      </c>
      <c r="BB23" s="957"/>
      <c r="BD23" s="957"/>
      <c r="BE23" s="957"/>
      <c r="BF23" s="957"/>
      <c r="BG23" s="957"/>
    </row>
    <row r="24" spans="1:59" ht="12.75" customHeight="1">
      <c r="A24" s="1002"/>
      <c r="B24" s="1004" t="s">
        <v>72</v>
      </c>
      <c r="C24" s="1013">
        <v>-256</v>
      </c>
      <c r="D24" s="1014">
        <v>-0.3273657289002558</v>
      </c>
      <c r="E24" s="1015"/>
      <c r="F24" s="1019"/>
      <c r="G24" s="1019">
        <v>526</v>
      </c>
      <c r="H24" s="1019">
        <v>697</v>
      </c>
      <c r="I24" s="1017">
        <v>929</v>
      </c>
      <c r="J24" s="1019">
        <v>831</v>
      </c>
      <c r="K24" s="234">
        <v>782</v>
      </c>
      <c r="L24" s="1019">
        <v>916</v>
      </c>
      <c r="M24" s="1017">
        <v>792</v>
      </c>
      <c r="N24" s="1019">
        <v>153</v>
      </c>
      <c r="O24" s="234">
        <v>8</v>
      </c>
      <c r="P24" s="234">
        <v>17</v>
      </c>
      <c r="Q24" s="238">
        <v>-9</v>
      </c>
      <c r="R24" s="234">
        <v>60</v>
      </c>
      <c r="S24" s="234">
        <v>12</v>
      </c>
      <c r="T24" s="234">
        <v>13</v>
      </c>
      <c r="U24" s="238"/>
      <c r="V24" s="1019"/>
      <c r="W24" s="1019"/>
      <c r="X24" s="1019"/>
      <c r="Y24" s="1017"/>
      <c r="Z24" s="1019"/>
      <c r="AA24" s="1019"/>
      <c r="AB24" s="1019"/>
      <c r="AC24" s="1017"/>
      <c r="AD24" s="1036"/>
      <c r="AE24" s="1036"/>
      <c r="AF24" s="1036"/>
      <c r="AG24" s="1036"/>
      <c r="AH24" s="1037"/>
      <c r="AI24" s="1017"/>
      <c r="AJ24" s="1017"/>
      <c r="AK24" s="1017"/>
      <c r="AL24" s="1005"/>
      <c r="AM24" s="1019">
        <v>2152</v>
      </c>
      <c r="AN24" s="1019">
        <v>2490</v>
      </c>
      <c r="AO24" s="1024">
        <v>-338</v>
      </c>
      <c r="AP24" s="1014">
        <v>-0.1357429718875502</v>
      </c>
      <c r="AQ24" s="1010"/>
      <c r="AR24" s="1128">
        <v>3321</v>
      </c>
      <c r="AS24" s="1128">
        <v>169</v>
      </c>
      <c r="AT24" s="43">
        <v>102</v>
      </c>
      <c r="AU24" s="43">
        <v>74</v>
      </c>
      <c r="AV24" s="201">
        <v>253</v>
      </c>
      <c r="AW24" s="201">
        <v>-4</v>
      </c>
      <c r="AX24" s="1025">
        <v>551</v>
      </c>
      <c r="AY24" s="1039">
        <v>175</v>
      </c>
      <c r="AZ24" s="1039">
        <v>114</v>
      </c>
      <c r="BA24" s="1039">
        <v>35</v>
      </c>
      <c r="BB24" s="957"/>
      <c r="BD24" s="957"/>
      <c r="BE24" s="957"/>
      <c r="BF24" s="957"/>
      <c r="BG24" s="957"/>
    </row>
    <row r="25" spans="1:59" ht="12.75" customHeight="1">
      <c r="A25" s="1002"/>
      <c r="B25" s="1004" t="s">
        <v>78</v>
      </c>
      <c r="C25" s="1013">
        <v>-1646</v>
      </c>
      <c r="D25" s="1055">
        <v>-0.24625972471573906</v>
      </c>
      <c r="E25" s="1015"/>
      <c r="F25" s="1019"/>
      <c r="G25" s="1019">
        <v>5038</v>
      </c>
      <c r="H25" s="1019">
        <v>5118</v>
      </c>
      <c r="I25" s="1017">
        <v>4908</v>
      </c>
      <c r="J25" s="1019">
        <v>4343</v>
      </c>
      <c r="K25" s="234">
        <v>6684</v>
      </c>
      <c r="L25" s="1019">
        <v>3481</v>
      </c>
      <c r="M25" s="1017">
        <v>6393</v>
      </c>
      <c r="N25" s="1019">
        <v>3450</v>
      </c>
      <c r="O25" s="234">
        <v>1763</v>
      </c>
      <c r="P25" s="234">
        <v>1485</v>
      </c>
      <c r="Q25" s="238">
        <v>2212</v>
      </c>
      <c r="R25" s="234">
        <v>1710</v>
      </c>
      <c r="S25" s="234">
        <v>1633</v>
      </c>
      <c r="T25" s="234">
        <v>1593</v>
      </c>
      <c r="U25" s="238"/>
      <c r="V25" s="1019"/>
      <c r="W25" s="1019"/>
      <c r="X25" s="1019"/>
      <c r="Y25" s="1017"/>
      <c r="Z25" s="1019"/>
      <c r="AA25" s="1019"/>
      <c r="AB25" s="1019"/>
      <c r="AC25" s="1017"/>
      <c r="AD25" s="1036"/>
      <c r="AE25" s="1036"/>
      <c r="AF25" s="1036"/>
      <c r="AG25" s="1036"/>
      <c r="AH25" s="1037"/>
      <c r="AI25" s="1017"/>
      <c r="AJ25" s="1017"/>
      <c r="AK25" s="1017"/>
      <c r="AL25" s="1005"/>
      <c r="AM25" s="1019">
        <v>15064</v>
      </c>
      <c r="AN25" s="1019">
        <v>16558</v>
      </c>
      <c r="AO25" s="1024">
        <v>-1494</v>
      </c>
      <c r="AP25" s="1014">
        <v>-0.09022828844063292</v>
      </c>
      <c r="AQ25" s="1010"/>
      <c r="AR25" s="1128">
        <v>20901</v>
      </c>
      <c r="AS25" s="1128">
        <v>8910</v>
      </c>
      <c r="AT25" s="43">
        <v>7399</v>
      </c>
      <c r="AU25" s="43">
        <v>5985</v>
      </c>
      <c r="AV25" s="201">
        <v>15606</v>
      </c>
      <c r="AW25" s="201">
        <v>11718</v>
      </c>
      <c r="AX25" s="1025">
        <v>12437</v>
      </c>
      <c r="AY25" s="1039">
        <v>11037</v>
      </c>
      <c r="AZ25" s="1039">
        <v>6277</v>
      </c>
      <c r="BA25" s="1039">
        <v>7632</v>
      </c>
      <c r="BB25" s="957"/>
      <c r="BD25" s="957"/>
      <c r="BE25" s="957"/>
      <c r="BF25" s="957"/>
      <c r="BG25" s="957"/>
    </row>
    <row r="26" spans="1:59" ht="12.75" customHeight="1">
      <c r="A26" s="1002"/>
      <c r="B26" s="1004" t="s">
        <v>79</v>
      </c>
      <c r="C26" s="1013">
        <v>-593</v>
      </c>
      <c r="D26" s="1014">
        <v>-0.3354072398190045</v>
      </c>
      <c r="E26" s="1015"/>
      <c r="F26" s="1019"/>
      <c r="G26" s="1019">
        <v>1175</v>
      </c>
      <c r="H26" s="1019">
        <v>813</v>
      </c>
      <c r="I26" s="1017">
        <v>806</v>
      </c>
      <c r="J26" s="1019">
        <v>1782</v>
      </c>
      <c r="K26" s="234">
        <v>1768</v>
      </c>
      <c r="L26" s="1019">
        <v>1790</v>
      </c>
      <c r="M26" s="1017">
        <v>2061</v>
      </c>
      <c r="N26" s="1019">
        <v>320</v>
      </c>
      <c r="O26" s="234">
        <v>307</v>
      </c>
      <c r="P26" s="234">
        <v>291</v>
      </c>
      <c r="Q26" s="238">
        <v>312</v>
      </c>
      <c r="R26" s="234">
        <v>314</v>
      </c>
      <c r="S26" s="234">
        <v>314</v>
      </c>
      <c r="T26" s="234">
        <v>314</v>
      </c>
      <c r="U26" s="238"/>
      <c r="V26" s="1019"/>
      <c r="W26" s="1019"/>
      <c r="X26" s="1019"/>
      <c r="Y26" s="1017"/>
      <c r="Z26" s="1019"/>
      <c r="AA26" s="1019"/>
      <c r="AB26" s="1019"/>
      <c r="AC26" s="1017"/>
      <c r="AD26" s="1036"/>
      <c r="AE26" s="1036"/>
      <c r="AF26" s="1036"/>
      <c r="AG26" s="1036"/>
      <c r="AH26" s="1037"/>
      <c r="AI26" s="1017"/>
      <c r="AJ26" s="1017"/>
      <c r="AK26" s="1017"/>
      <c r="AL26" s="1005"/>
      <c r="AM26" s="1019">
        <v>2794</v>
      </c>
      <c r="AN26" s="1019">
        <v>5619</v>
      </c>
      <c r="AO26" s="1024">
        <v>-2825</v>
      </c>
      <c r="AP26" s="1014">
        <v>-0.5027584979533725</v>
      </c>
      <c r="AQ26" s="1010"/>
      <c r="AR26" s="1128">
        <v>7401</v>
      </c>
      <c r="AS26" s="1128">
        <v>1230</v>
      </c>
      <c r="AT26" s="43">
        <v>1254</v>
      </c>
      <c r="AU26" s="43">
        <v>1603</v>
      </c>
      <c r="AV26" s="201">
        <v>1843</v>
      </c>
      <c r="AW26" s="201">
        <v>1825</v>
      </c>
      <c r="AX26" s="1025">
        <v>1063</v>
      </c>
      <c r="AY26" s="1039">
        <v>893</v>
      </c>
      <c r="AZ26" s="1039">
        <v>470</v>
      </c>
      <c r="BA26" s="1039">
        <v>1291</v>
      </c>
      <c r="BB26" s="957"/>
      <c r="BD26" s="957"/>
      <c r="BE26" s="957"/>
      <c r="BF26" s="957"/>
      <c r="BG26" s="957"/>
    </row>
    <row r="27" spans="1:59" ht="12.75" customHeight="1">
      <c r="A27" s="966"/>
      <c r="B27" s="1004" t="s">
        <v>80</v>
      </c>
      <c r="C27" s="1013">
        <v>-1111</v>
      </c>
      <c r="D27" s="1014" t="s">
        <v>44</v>
      </c>
      <c r="E27" s="1015"/>
      <c r="F27" s="1215"/>
      <c r="G27" s="1215">
        <v>-447</v>
      </c>
      <c r="H27" s="1215">
        <v>3172</v>
      </c>
      <c r="I27" s="1056">
        <v>582</v>
      </c>
      <c r="J27" s="1215">
        <v>715</v>
      </c>
      <c r="K27" s="234">
        <v>664</v>
      </c>
      <c r="L27" s="1215">
        <v>0</v>
      </c>
      <c r="M27" s="1056">
        <v>0</v>
      </c>
      <c r="N27" s="1215">
        <v>0</v>
      </c>
      <c r="O27" s="234">
        <v>512</v>
      </c>
      <c r="P27" s="234">
        <v>533</v>
      </c>
      <c r="Q27" s="238">
        <v>760</v>
      </c>
      <c r="R27" s="234">
        <v>1474</v>
      </c>
      <c r="S27" s="234">
        <v>1103</v>
      </c>
      <c r="T27" s="234">
        <v>1012</v>
      </c>
      <c r="U27" s="238"/>
      <c r="V27" s="1019"/>
      <c r="W27" s="1019"/>
      <c r="X27" s="1019"/>
      <c r="Y27" s="1017"/>
      <c r="Z27" s="1019"/>
      <c r="AA27" s="1019"/>
      <c r="AB27" s="1019"/>
      <c r="AC27" s="1017"/>
      <c r="AD27" s="1036"/>
      <c r="AE27" s="1036"/>
      <c r="AF27" s="1036"/>
      <c r="AG27" s="1036"/>
      <c r="AH27" s="1037"/>
      <c r="AI27" s="1017"/>
      <c r="AJ27" s="1017"/>
      <c r="AK27" s="1017"/>
      <c r="AL27" s="1005"/>
      <c r="AM27" s="1215">
        <v>3307</v>
      </c>
      <c r="AN27" s="254">
        <v>664</v>
      </c>
      <c r="AO27" s="1024">
        <v>2643</v>
      </c>
      <c r="AP27" s="1014" t="s">
        <v>44</v>
      </c>
      <c r="AQ27" s="1010"/>
      <c r="AR27" s="1128">
        <v>1379</v>
      </c>
      <c r="AS27" s="1128">
        <v>1805</v>
      </c>
      <c r="AT27" s="43">
        <v>4697</v>
      </c>
      <c r="AU27" s="43">
        <v>3012</v>
      </c>
      <c r="AV27" s="201">
        <v>1340</v>
      </c>
      <c r="AW27" s="201">
        <v>1133</v>
      </c>
      <c r="AX27" s="1025">
        <v>1510</v>
      </c>
      <c r="AY27" s="1039">
        <v>538</v>
      </c>
      <c r="AZ27" s="1039">
        <v>590</v>
      </c>
      <c r="BA27" s="1039">
        <v>836</v>
      </c>
      <c r="BB27" s="957"/>
      <c r="BD27" s="957"/>
      <c r="BE27" s="957"/>
      <c r="BF27" s="957"/>
      <c r="BG27" s="957"/>
    </row>
    <row r="28" spans="1:59" ht="12.75" customHeight="1">
      <c r="A28" s="1002"/>
      <c r="B28" s="966" t="s">
        <v>193</v>
      </c>
      <c r="C28" s="1013">
        <v>-2291</v>
      </c>
      <c r="D28" s="1014" t="s">
        <v>44</v>
      </c>
      <c r="E28" s="1015"/>
      <c r="F28" s="1053"/>
      <c r="G28" s="1215">
        <v>0</v>
      </c>
      <c r="H28" s="1215">
        <v>1307</v>
      </c>
      <c r="I28" s="1056">
        <v>0</v>
      </c>
      <c r="J28" s="1053">
        <v>5561</v>
      </c>
      <c r="K28" s="254">
        <v>2291</v>
      </c>
      <c r="L28" s="1215">
        <v>0</v>
      </c>
      <c r="M28" s="1056">
        <v>0</v>
      </c>
      <c r="N28" s="1053">
        <v>18049</v>
      </c>
      <c r="O28" s="254">
        <v>0</v>
      </c>
      <c r="P28" s="254">
        <v>0</v>
      </c>
      <c r="Q28" s="486">
        <v>0</v>
      </c>
      <c r="R28" s="1053">
        <v>0</v>
      </c>
      <c r="S28" s="385">
        <v>0</v>
      </c>
      <c r="T28" s="385">
        <v>0</v>
      </c>
      <c r="U28" s="486"/>
      <c r="V28" s="1057"/>
      <c r="W28" s="1073"/>
      <c r="X28" s="1073"/>
      <c r="Y28" s="1074"/>
      <c r="Z28" s="1019"/>
      <c r="AA28" s="1019"/>
      <c r="AB28" s="1073"/>
      <c r="AC28" s="1074"/>
      <c r="AD28" s="1075"/>
      <c r="AE28" s="1068"/>
      <c r="AF28" s="1068"/>
      <c r="AG28" s="1068"/>
      <c r="AH28" s="1070"/>
      <c r="AI28" s="1069"/>
      <c r="AJ28" s="1017"/>
      <c r="AK28" s="1017"/>
      <c r="AL28" s="1005"/>
      <c r="AM28" s="1064">
        <v>1307</v>
      </c>
      <c r="AN28" s="254">
        <v>2291</v>
      </c>
      <c r="AO28" s="1024">
        <v>-984</v>
      </c>
      <c r="AP28" s="1014" t="s">
        <v>44</v>
      </c>
      <c r="AQ28" s="1010"/>
      <c r="AR28" s="1219">
        <v>7852</v>
      </c>
      <c r="AS28" s="1219">
        <v>18049</v>
      </c>
      <c r="AT28" s="302">
        <v>0</v>
      </c>
      <c r="AU28" s="1220">
        <v>0</v>
      </c>
      <c r="AV28" s="1220">
        <v>1274</v>
      </c>
      <c r="AW28" s="1221">
        <v>0</v>
      </c>
      <c r="AX28" s="1076">
        <v>0</v>
      </c>
      <c r="AY28" s="1076">
        <v>0</v>
      </c>
      <c r="AZ28" s="1039">
        <v>0</v>
      </c>
      <c r="BA28" s="1039">
        <v>0</v>
      </c>
      <c r="BB28" s="957"/>
      <c r="BD28" s="957"/>
      <c r="BE28" s="957"/>
      <c r="BF28" s="957"/>
      <c r="BG28" s="957"/>
    </row>
    <row r="29" spans="1:59" ht="12.75" customHeight="1">
      <c r="A29" s="966"/>
      <c r="B29" s="966" t="s">
        <v>218</v>
      </c>
      <c r="C29" s="1013">
        <v>0</v>
      </c>
      <c r="D29" s="1055">
        <v>0</v>
      </c>
      <c r="E29" s="1015"/>
      <c r="F29" s="254"/>
      <c r="G29" s="1215">
        <v>0</v>
      </c>
      <c r="H29" s="1215">
        <v>0</v>
      </c>
      <c r="I29" s="1056">
        <v>0</v>
      </c>
      <c r="J29" s="254">
        <v>0</v>
      </c>
      <c r="K29" s="254">
        <v>0</v>
      </c>
      <c r="L29" s="1215">
        <v>0</v>
      </c>
      <c r="M29" s="1056">
        <v>0</v>
      </c>
      <c r="N29" s="254">
        <v>5885</v>
      </c>
      <c r="O29" s="254">
        <v>410</v>
      </c>
      <c r="P29" s="1053">
        <v>0</v>
      </c>
      <c r="Q29" s="1056">
        <v>0</v>
      </c>
      <c r="R29" s="254">
        <v>0</v>
      </c>
      <c r="S29" s="254">
        <v>0</v>
      </c>
      <c r="T29" s="1053">
        <v>0</v>
      </c>
      <c r="U29" s="1056"/>
      <c r="V29" s="1019"/>
      <c r="W29" s="1057"/>
      <c r="X29" s="1057"/>
      <c r="Y29" s="1058"/>
      <c r="Z29" s="1057"/>
      <c r="AA29" s="1057"/>
      <c r="AB29" s="1057"/>
      <c r="AC29" s="1059"/>
      <c r="AD29" s="1060"/>
      <c r="AE29" s="1060"/>
      <c r="AF29" s="1060"/>
      <c r="AG29" s="1060"/>
      <c r="AH29" s="1061"/>
      <c r="AI29" s="1062"/>
      <c r="AJ29" s="1062"/>
      <c r="AK29" s="1062"/>
      <c r="AL29" s="1063"/>
      <c r="AM29" s="1064">
        <v>0</v>
      </c>
      <c r="AN29" s="254">
        <v>0</v>
      </c>
      <c r="AO29" s="1216">
        <v>0</v>
      </c>
      <c r="AP29" s="1014">
        <v>0</v>
      </c>
      <c r="AQ29" s="1063"/>
      <c r="AR29" s="1056">
        <v>0</v>
      </c>
      <c r="AS29" s="1128">
        <v>6295</v>
      </c>
      <c r="AT29" s="1217">
        <v>0</v>
      </c>
      <c r="AU29" s="1218">
        <v>0</v>
      </c>
      <c r="AV29" s="1218">
        <v>0</v>
      </c>
      <c r="AW29" s="1218">
        <v>0</v>
      </c>
      <c r="AX29" s="1066">
        <v>0</v>
      </c>
      <c r="AY29" s="1067">
        <v>0</v>
      </c>
      <c r="AZ29" s="1039"/>
      <c r="BA29" s="1039">
        <v>0</v>
      </c>
      <c r="BB29" s="957"/>
      <c r="BD29" s="957"/>
      <c r="BE29" s="957"/>
      <c r="BF29" s="957"/>
      <c r="BG29" s="957"/>
    </row>
    <row r="30" spans="1:59" ht="12.75" customHeight="1" hidden="1">
      <c r="A30" s="1002"/>
      <c r="B30" s="966"/>
      <c r="C30" s="1013"/>
      <c r="D30" s="1055"/>
      <c r="E30" s="1015"/>
      <c r="F30" s="1053"/>
      <c r="G30" s="1215"/>
      <c r="H30" s="1215"/>
      <c r="I30" s="1056"/>
      <c r="J30" s="1053"/>
      <c r="K30" s="385"/>
      <c r="L30" s="1215"/>
      <c r="M30" s="1056"/>
      <c r="N30" s="1053"/>
      <c r="O30" s="385"/>
      <c r="P30" s="385"/>
      <c r="Q30" s="486"/>
      <c r="R30" s="1053"/>
      <c r="S30" s="385"/>
      <c r="T30" s="385"/>
      <c r="U30" s="486"/>
      <c r="V30" s="1057"/>
      <c r="W30" s="1073"/>
      <c r="X30" s="1073"/>
      <c r="Y30" s="1074"/>
      <c r="Z30" s="1019"/>
      <c r="AA30" s="1019"/>
      <c r="AB30" s="1073"/>
      <c r="AC30" s="1074"/>
      <c r="AD30" s="1075"/>
      <c r="AE30" s="1068"/>
      <c r="AF30" s="1068"/>
      <c r="AG30" s="1068"/>
      <c r="AH30" s="1070"/>
      <c r="AI30" s="1069"/>
      <c r="AJ30" s="1017"/>
      <c r="AK30" s="1017"/>
      <c r="AL30" s="1005"/>
      <c r="AM30" s="1064"/>
      <c r="AN30" s="1019"/>
      <c r="AO30" s="1024"/>
      <c r="AP30" s="1014"/>
      <c r="AQ30" s="1010"/>
      <c r="AR30" s="1219"/>
      <c r="AS30" s="1219"/>
      <c r="AT30" s="302"/>
      <c r="AU30" s="1220"/>
      <c r="AV30" s="1220"/>
      <c r="AW30" s="1221"/>
      <c r="AX30" s="1076"/>
      <c r="AY30" s="1076"/>
      <c r="AZ30" s="1039"/>
      <c r="BA30" s="1039"/>
      <c r="BB30" s="957"/>
      <c r="BD30" s="957"/>
      <c r="BE30" s="957"/>
      <c r="BF30" s="957"/>
      <c r="BG30" s="957"/>
    </row>
    <row r="31" spans="1:59" ht="12.75" customHeight="1">
      <c r="A31" s="1002"/>
      <c r="B31" s="966"/>
      <c r="C31" s="1026">
        <v>4345</v>
      </c>
      <c r="D31" s="1077">
        <v>0.09330040798797509</v>
      </c>
      <c r="E31" s="1015"/>
      <c r="F31" s="1078"/>
      <c r="G31" s="1029">
        <v>50915</v>
      </c>
      <c r="H31" s="1029">
        <v>42560</v>
      </c>
      <c r="I31" s="1035">
        <v>35372</v>
      </c>
      <c r="J31" s="1030">
        <v>50734</v>
      </c>
      <c r="K31" s="1029">
        <v>46570</v>
      </c>
      <c r="L31" s="1029">
        <v>40389</v>
      </c>
      <c r="M31" s="1028">
        <v>40976</v>
      </c>
      <c r="N31" s="1029">
        <v>47530</v>
      </c>
      <c r="O31" s="1029">
        <v>13751</v>
      </c>
      <c r="P31" s="1029">
        <v>13294</v>
      </c>
      <c r="Q31" s="1028">
        <v>14080</v>
      </c>
      <c r="R31" s="1029">
        <v>25215</v>
      </c>
      <c r="S31" s="1078">
        <v>20384</v>
      </c>
      <c r="T31" s="1029">
        <v>16895</v>
      </c>
      <c r="U31" s="1035">
        <v>0</v>
      </c>
      <c r="V31" s="1029">
        <v>27693</v>
      </c>
      <c r="W31" s="1078">
        <v>37922</v>
      </c>
      <c r="X31" s="1029">
        <v>19480</v>
      </c>
      <c r="Y31" s="1035">
        <v>22187</v>
      </c>
      <c r="Z31" s="1078">
        <v>0</v>
      </c>
      <c r="AA31" s="1078">
        <v>0</v>
      </c>
      <c r="AB31" s="1078">
        <v>0</v>
      </c>
      <c r="AC31" s="1035">
        <v>0</v>
      </c>
      <c r="AD31" s="1078">
        <v>0</v>
      </c>
      <c r="AE31" s="1078">
        <v>87449</v>
      </c>
      <c r="AF31" s="1028">
        <v>74128</v>
      </c>
      <c r="AG31" s="1078">
        <v>106349</v>
      </c>
      <c r="AH31" s="1079">
        <v>100905</v>
      </c>
      <c r="AI31" s="1035">
        <v>75317</v>
      </c>
      <c r="AJ31" s="1035">
        <v>70703</v>
      </c>
      <c r="AK31" s="1078">
        <v>91522</v>
      </c>
      <c r="AL31" s="1005"/>
      <c r="AM31" s="1029">
        <v>128847</v>
      </c>
      <c r="AN31" s="1029">
        <v>127935</v>
      </c>
      <c r="AO31" s="1354">
        <v>912</v>
      </c>
      <c r="AP31" s="1081">
        <v>0.007128620002344941</v>
      </c>
      <c r="AQ31" s="1006"/>
      <c r="AR31" s="1082">
        <v>178669</v>
      </c>
      <c r="AS31" s="1082">
        <v>88655</v>
      </c>
      <c r="AT31" s="1082">
        <v>78548</v>
      </c>
      <c r="AU31" s="1082">
        <v>72921</v>
      </c>
      <c r="AV31" s="1082">
        <v>70895</v>
      </c>
      <c r="AW31" s="1082">
        <v>88719</v>
      </c>
      <c r="AX31" s="1082">
        <v>125171</v>
      </c>
      <c r="AY31" s="1083">
        <v>105485</v>
      </c>
      <c r="AZ31" s="1083">
        <v>67435</v>
      </c>
      <c r="BA31" s="1033">
        <v>154490</v>
      </c>
      <c r="BB31" s="957"/>
      <c r="BD31" s="957"/>
      <c r="BE31" s="957"/>
      <c r="BF31" s="957"/>
      <c r="BG31" s="957"/>
    </row>
    <row r="32" spans="1:59" s="1089" customFormat="1" ht="24.75" customHeight="1" thickBot="1">
      <c r="A32" s="1449" t="s">
        <v>216</v>
      </c>
      <c r="B32" s="1450"/>
      <c r="C32" s="1026">
        <v>17114</v>
      </c>
      <c r="D32" s="1027" t="s">
        <v>44</v>
      </c>
      <c r="E32" s="1274"/>
      <c r="F32" s="1315">
        <v>0</v>
      </c>
      <c r="G32" s="1315">
        <v>14792</v>
      </c>
      <c r="H32" s="1315">
        <v>376</v>
      </c>
      <c r="I32" s="1314">
        <v>5117</v>
      </c>
      <c r="J32" s="1315">
        <v>-5182</v>
      </c>
      <c r="K32" s="1315">
        <v>-2322</v>
      </c>
      <c r="L32" s="1315">
        <v>-1355</v>
      </c>
      <c r="M32" s="1314">
        <v>-11756</v>
      </c>
      <c r="N32" s="1315">
        <v>-27669</v>
      </c>
      <c r="O32" s="1315">
        <v>-1003</v>
      </c>
      <c r="P32" s="1315">
        <v>-3956</v>
      </c>
      <c r="Q32" s="1314">
        <v>-4834</v>
      </c>
      <c r="R32" s="1315">
        <v>9340</v>
      </c>
      <c r="S32" s="1315">
        <v>2955</v>
      </c>
      <c r="T32" s="1240">
        <v>1443</v>
      </c>
      <c r="U32" s="1314" t="e">
        <v>#REF!</v>
      </c>
      <c r="V32" s="1240" t="e">
        <v>#REF!</v>
      </c>
      <c r="W32" s="1315" t="e">
        <v>#REF!</v>
      </c>
      <c r="X32" s="1240" t="e">
        <v>#REF!</v>
      </c>
      <c r="Y32" s="1314" t="e">
        <v>#REF!</v>
      </c>
      <c r="Z32" s="1315" t="e">
        <v>#REF!</v>
      </c>
      <c r="AA32" s="1315" t="e">
        <v>#REF!</v>
      </c>
      <c r="AB32" s="1315" t="e">
        <v>#REF!</v>
      </c>
      <c r="AC32" s="1314" t="e">
        <v>#REF!</v>
      </c>
      <c r="AD32" s="1315" t="e">
        <v>#REF!</v>
      </c>
      <c r="AE32" s="1306" t="s">
        <v>214</v>
      </c>
      <c r="AF32" s="1305" t="s">
        <v>214</v>
      </c>
      <c r="AG32" s="1306"/>
      <c r="AH32" s="1306"/>
      <c r="AI32" s="1306"/>
      <c r="AJ32" s="1306"/>
      <c r="AK32" s="1306"/>
      <c r="AL32" s="1271"/>
      <c r="AM32" s="1378">
        <v>20285</v>
      </c>
      <c r="AN32" s="1315">
        <v>-15433</v>
      </c>
      <c r="AO32" s="1345">
        <v>35718</v>
      </c>
      <c r="AP32" s="1027">
        <v>2.31439123955161</v>
      </c>
      <c r="AQ32" s="1006"/>
      <c r="AR32" s="1032">
        <v>-20615</v>
      </c>
      <c r="AS32" s="1032">
        <v>-37462</v>
      </c>
      <c r="AT32" s="1032">
        <v>14129</v>
      </c>
      <c r="AU32" s="1032">
        <v>9533</v>
      </c>
      <c r="AV32" s="1032">
        <v>2031</v>
      </c>
      <c r="AW32" s="1085">
        <v>29613</v>
      </c>
      <c r="AX32" s="1085" t="e">
        <v>#REF!</v>
      </c>
      <c r="AY32" s="1033" t="e">
        <v>#REF!</v>
      </c>
      <c r="AZ32" s="1033" t="e">
        <v>#REF!</v>
      </c>
      <c r="BA32" s="1087"/>
      <c r="BB32" s="1088"/>
      <c r="BD32" s="1088"/>
      <c r="BE32" s="1088"/>
      <c r="BF32" s="1088"/>
      <c r="BG32" s="1088"/>
    </row>
    <row r="33" spans="1:59" s="1089" customFormat="1" ht="12.75" customHeight="1" thickTop="1">
      <c r="A33" s="1090"/>
      <c r="B33" s="1091" t="s">
        <v>451</v>
      </c>
      <c r="C33" s="1026">
        <v>467</v>
      </c>
      <c r="D33" s="1084">
        <v>0.26792885829030405</v>
      </c>
      <c r="E33" s="1015"/>
      <c r="F33" s="1086"/>
      <c r="G33" s="1266">
        <v>-1276</v>
      </c>
      <c r="H33" s="1266">
        <v>-840</v>
      </c>
      <c r="I33" s="951">
        <v>-583</v>
      </c>
      <c r="J33" s="1345">
        <v>-1769</v>
      </c>
      <c r="K33" s="1345">
        <v>-1743</v>
      </c>
      <c r="L33" s="1345">
        <v>-2014</v>
      </c>
      <c r="M33" s="951">
        <v>-1210</v>
      </c>
      <c r="N33" s="1382">
        <v>0</v>
      </c>
      <c r="O33" s="1382">
        <v>0</v>
      </c>
      <c r="P33" s="1383">
        <v>0</v>
      </c>
      <c r="Q33" s="618">
        <v>0</v>
      </c>
      <c r="R33" s="1345">
        <v>0</v>
      </c>
      <c r="S33" s="621"/>
      <c r="T33" s="1345"/>
      <c r="U33" s="618"/>
      <c r="V33" s="1345"/>
      <c r="W33" s="621"/>
      <c r="X33" s="1345"/>
      <c r="Y33" s="618"/>
      <c r="Z33" s="621"/>
      <c r="AA33" s="621"/>
      <c r="AB33" s="621"/>
      <c r="AC33" s="618"/>
      <c r="AD33" s="621"/>
      <c r="AE33" s="775"/>
      <c r="AF33" s="1350"/>
      <c r="AG33" s="775"/>
      <c r="AH33" s="775"/>
      <c r="AI33" s="775"/>
      <c r="AJ33" s="775"/>
      <c r="AK33" s="775"/>
      <c r="AL33" s="1351"/>
      <c r="AM33" s="1345">
        <v>-2699</v>
      </c>
      <c r="AN33" s="1345">
        <v>-4967</v>
      </c>
      <c r="AO33" s="1345">
        <v>2268</v>
      </c>
      <c r="AP33" s="1027">
        <v>0.45661365009059796</v>
      </c>
      <c r="AQ33" s="1380"/>
      <c r="AR33" s="1345">
        <v>0</v>
      </c>
      <c r="AS33" s="1349">
        <v>0</v>
      </c>
      <c r="AT33" s="1379">
        <v>0</v>
      </c>
      <c r="AU33" s="1379">
        <v>0</v>
      </c>
      <c r="AV33" s="1379">
        <v>0</v>
      </c>
      <c r="AW33" s="1025"/>
      <c r="AX33" s="1042"/>
      <c r="AY33" s="1093"/>
      <c r="AZ33" s="1039"/>
      <c r="BA33" s="1050"/>
      <c r="BB33" s="1088"/>
      <c r="BD33" s="1088"/>
      <c r="BE33" s="1088"/>
      <c r="BF33" s="1088"/>
      <c r="BG33" s="1088"/>
    </row>
    <row r="34" spans="1:59" s="1089" customFormat="1" ht="18.75" customHeight="1" thickBot="1">
      <c r="A34" s="1449" t="s">
        <v>82</v>
      </c>
      <c r="B34" s="1451"/>
      <c r="C34" s="1094">
        <v>16647</v>
      </c>
      <c r="D34" s="1244" t="s">
        <v>44</v>
      </c>
      <c r="E34" s="1015"/>
      <c r="F34" s="1096"/>
      <c r="G34" s="1096">
        <v>16068</v>
      </c>
      <c r="H34" s="1096">
        <v>1216</v>
      </c>
      <c r="I34" s="1097">
        <v>5700</v>
      </c>
      <c r="J34" s="718">
        <v>-3413</v>
      </c>
      <c r="K34" s="718">
        <v>-579</v>
      </c>
      <c r="L34" s="718">
        <v>659</v>
      </c>
      <c r="M34" s="1343">
        <v>-10546</v>
      </c>
      <c r="N34" s="718">
        <v>-27669</v>
      </c>
      <c r="O34" s="718">
        <v>-1003</v>
      </c>
      <c r="P34" s="718">
        <v>-3956</v>
      </c>
      <c r="Q34" s="1343">
        <v>-4834</v>
      </c>
      <c r="R34" s="718">
        <v>9340</v>
      </c>
      <c r="S34" s="718"/>
      <c r="T34" s="718"/>
      <c r="U34" s="1343"/>
      <c r="V34" s="718"/>
      <c r="W34" s="718"/>
      <c r="X34" s="718"/>
      <c r="Y34" s="1343"/>
      <c r="Z34" s="718"/>
      <c r="AA34" s="718"/>
      <c r="AB34" s="718"/>
      <c r="AC34" s="1343"/>
      <c r="AD34" s="718"/>
      <c r="AE34" s="1352"/>
      <c r="AF34" s="1353"/>
      <c r="AG34" s="1352"/>
      <c r="AH34" s="1352"/>
      <c r="AI34" s="1352"/>
      <c r="AJ34" s="1352"/>
      <c r="AK34" s="1352"/>
      <c r="AL34" s="1351"/>
      <c r="AM34" s="718">
        <v>22984</v>
      </c>
      <c r="AN34" s="718">
        <v>-10466</v>
      </c>
      <c r="AO34" s="718">
        <v>33450</v>
      </c>
      <c r="AP34" s="1244" t="s">
        <v>44</v>
      </c>
      <c r="AQ34" s="1092"/>
      <c r="AR34" s="1347">
        <v>-20615</v>
      </c>
      <c r="AS34" s="1347">
        <v>-37462</v>
      </c>
      <c r="AT34" s="1098">
        <v>14129</v>
      </c>
      <c r="AU34" s="1098">
        <v>9533</v>
      </c>
      <c r="AV34" s="1098">
        <v>2031</v>
      </c>
      <c r="AW34" s="1098"/>
      <c r="AX34" s="1097"/>
      <c r="AY34" s="1099"/>
      <c r="AZ34" s="1033"/>
      <c r="BA34" s="1050"/>
      <c r="BB34" s="1088"/>
      <c r="BD34" s="1088"/>
      <c r="BE34" s="1088"/>
      <c r="BF34" s="1088"/>
      <c r="BG34" s="1088"/>
    </row>
    <row r="35" spans="1:59" ht="12.75" customHeight="1" thickTop="1">
      <c r="A35" s="1072"/>
      <c r="B35" s="1072"/>
      <c r="C35" s="1050"/>
      <c r="D35" s="1100"/>
      <c r="E35" s="1100"/>
      <c r="F35" s="1100"/>
      <c r="G35" s="1101"/>
      <c r="H35" s="1101"/>
      <c r="I35" s="1006"/>
      <c r="J35" s="1100"/>
      <c r="K35" s="1101"/>
      <c r="L35" s="1101"/>
      <c r="M35" s="1006"/>
      <c r="N35" s="1100"/>
      <c r="O35" s="1100"/>
      <c r="P35" s="1101"/>
      <c r="Q35" s="1006"/>
      <c r="R35" s="1100"/>
      <c r="S35" s="1100"/>
      <c r="T35" s="1100"/>
      <c r="U35" s="1006"/>
      <c r="V35" s="1100"/>
      <c r="W35" s="1100"/>
      <c r="X35" s="1100"/>
      <c r="Y35" s="1006"/>
      <c r="Z35" s="1100"/>
      <c r="AA35" s="1100"/>
      <c r="AB35" s="1100"/>
      <c r="AC35" s="1006"/>
      <c r="AD35" s="1010"/>
      <c r="AE35" s="1010"/>
      <c r="AF35" s="1010"/>
      <c r="AG35" s="1010"/>
      <c r="AH35" s="1102"/>
      <c r="AI35" s="1102"/>
      <c r="AJ35" s="1102"/>
      <c r="AK35" s="1102"/>
      <c r="AL35" s="1006"/>
      <c r="AM35" s="1006"/>
      <c r="AN35" s="1006"/>
      <c r="AO35" s="1024"/>
      <c r="AP35" s="1100"/>
      <c r="AQ35" s="1006"/>
      <c r="AR35" s="1006"/>
      <c r="AS35" s="1006"/>
      <c r="AT35" s="1006"/>
      <c r="AU35" s="1006"/>
      <c r="AV35" s="1006"/>
      <c r="AW35" s="1050"/>
      <c r="AX35" s="1050"/>
      <c r="AY35" s="1050"/>
      <c r="AZ35" s="1050"/>
      <c r="BA35" s="1050"/>
      <c r="BB35" s="957"/>
      <c r="BD35" s="957"/>
      <c r="BE35" s="957"/>
      <c r="BF35" s="957"/>
      <c r="BG35" s="957"/>
    </row>
    <row r="36" spans="1:59" ht="12.75" customHeight="1">
      <c r="A36" s="1072" t="s">
        <v>401</v>
      </c>
      <c r="B36" s="1072"/>
      <c r="C36" s="1103">
        <v>-1.6505064985589568</v>
      </c>
      <c r="D36" s="1100"/>
      <c r="E36" s="1100"/>
      <c r="F36" s="1100"/>
      <c r="G36" s="1104">
        <v>0.44966289740819093</v>
      </c>
      <c r="H36" s="1104">
        <v>0.4740544065585988</v>
      </c>
      <c r="I36" s="1104">
        <v>0.3903282372990195</v>
      </c>
      <c r="J36" s="1104">
        <v>0.5172989111345275</v>
      </c>
      <c r="K36" s="1104">
        <v>0.4661679623937805</v>
      </c>
      <c r="L36" s="1104">
        <v>0.5406824819388225</v>
      </c>
      <c r="M36" s="1104">
        <v>0.40616016427104723</v>
      </c>
      <c r="N36" s="1104">
        <v>0.8127989527214138</v>
      </c>
      <c r="O36" s="1104">
        <v>0.42014433636648885</v>
      </c>
      <c r="P36" s="1104">
        <v>0.6003426857999572</v>
      </c>
      <c r="Q36" s="1104">
        <v>0.5499675535366645</v>
      </c>
      <c r="R36" s="1100"/>
      <c r="S36" s="1100"/>
      <c r="T36" s="1100"/>
      <c r="U36" s="1006"/>
      <c r="V36" s="1100"/>
      <c r="W36" s="1100"/>
      <c r="X36" s="1100"/>
      <c r="Y36" s="1006"/>
      <c r="Z36" s="1100"/>
      <c r="AA36" s="1100"/>
      <c r="AB36" s="1100"/>
      <c r="AC36" s="1006"/>
      <c r="AD36" s="1010"/>
      <c r="AE36" s="1010"/>
      <c r="AF36" s="1010"/>
      <c r="AG36" s="1010"/>
      <c r="AH36" s="1102"/>
      <c r="AI36" s="1102"/>
      <c r="AJ36" s="1102"/>
      <c r="AK36" s="1102"/>
      <c r="AL36" s="1006"/>
      <c r="AM36" s="1104">
        <v>0.4405761338948046</v>
      </c>
      <c r="AN36" s="1104">
        <v>0.47643597447156494</v>
      </c>
      <c r="AO36" s="1103">
        <v>-3.5859840576760336</v>
      </c>
      <c r="AP36" s="1100"/>
      <c r="AQ36" s="1006"/>
      <c r="AR36" s="1104">
        <v>0.488212889265694</v>
      </c>
      <c r="AS36" s="1104">
        <v>0.6287969058269686</v>
      </c>
      <c r="AT36" s="1104">
        <v>0.4913624739687301</v>
      </c>
      <c r="AU36" s="1104">
        <v>0.5158633904965193</v>
      </c>
      <c r="AV36" s="1104">
        <v>0.4664454378410992</v>
      </c>
      <c r="AW36" s="1050"/>
      <c r="AX36" s="1050"/>
      <c r="AY36" s="1050"/>
      <c r="AZ36" s="1050"/>
      <c r="BA36" s="1050"/>
      <c r="BB36" s="957"/>
      <c r="BD36" s="957"/>
      <c r="BE36" s="957"/>
      <c r="BF36" s="957"/>
      <c r="BG36" s="957"/>
    </row>
    <row r="37" spans="1:48" ht="12.75">
      <c r="A37" s="1072" t="s">
        <v>456</v>
      </c>
      <c r="C37" s="1103">
        <v>-1.4742860912779807</v>
      </c>
      <c r="G37" s="1104">
        <v>0.06013057969470528</v>
      </c>
      <c r="H37" s="1104">
        <v>0.025270169554686046</v>
      </c>
      <c r="I37" s="1104">
        <v>0.057373607646521274</v>
      </c>
      <c r="J37" s="1104">
        <v>0.07367404285212505</v>
      </c>
      <c r="K37" s="1104">
        <v>0.07487344060748509</v>
      </c>
      <c r="L37" s="1104">
        <v>0.07928984987446841</v>
      </c>
      <c r="M37" s="1104">
        <v>0.22501711156741958</v>
      </c>
      <c r="N37" s="1104">
        <v>-0.0886662303005891</v>
      </c>
      <c r="O37" s="1104">
        <v>0.08417006589268905</v>
      </c>
      <c r="P37" s="1104">
        <v>0.09156136217605483</v>
      </c>
      <c r="Q37" s="1104">
        <v>0.12156608263032663</v>
      </c>
      <c r="AM37" s="1104">
        <v>0.04934554622750315</v>
      </c>
      <c r="AN37" s="1104">
        <v>0.1154023928463494</v>
      </c>
      <c r="AO37" s="1103">
        <v>-6.605684661884625</v>
      </c>
      <c r="AR37" s="1104">
        <v>0.1033760613461222</v>
      </c>
      <c r="AS37" s="1104">
        <v>0.02521829156329967</v>
      </c>
      <c r="AT37" s="1104">
        <v>0.025669799410857064</v>
      </c>
      <c r="AU37" s="1104">
        <v>0.041720231886870254</v>
      </c>
      <c r="AV37" s="1104">
        <v>0.026931409922387076</v>
      </c>
    </row>
    <row r="38" spans="1:59" ht="12.75" customHeight="1">
      <c r="A38" s="1105" t="s">
        <v>84</v>
      </c>
      <c r="B38" s="1106"/>
      <c r="C38" s="1103">
        <v>-3.1247925898369333</v>
      </c>
      <c r="D38" s="1100"/>
      <c r="E38" s="1100"/>
      <c r="F38" s="1104" t="e">
        <v>#DIV/0!</v>
      </c>
      <c r="G38" s="1104">
        <v>0.5097934771028962</v>
      </c>
      <c r="H38" s="1104">
        <v>0.4993245761132849</v>
      </c>
      <c r="I38" s="1104">
        <v>0.4477018449455408</v>
      </c>
      <c r="J38" s="1104">
        <v>0.5909729539866526</v>
      </c>
      <c r="K38" s="1104">
        <v>0.5410414030012656</v>
      </c>
      <c r="L38" s="1104">
        <v>0.6199723318132909</v>
      </c>
      <c r="M38" s="1104">
        <v>0.6311772758384668</v>
      </c>
      <c r="N38" s="1104">
        <v>0.7241327224208247</v>
      </c>
      <c r="O38" s="1104">
        <v>0.5043144022591779</v>
      </c>
      <c r="P38" s="1104">
        <v>0.691904047976012</v>
      </c>
      <c r="Q38" s="1104">
        <v>0.6715336361669911</v>
      </c>
      <c r="R38" s="1104">
        <v>0.4994356822456953</v>
      </c>
      <c r="S38" s="1104">
        <v>0.5556793350186383</v>
      </c>
      <c r="T38" s="1104">
        <v>0.5263387501363289</v>
      </c>
      <c r="U38" s="1104" t="e">
        <v>#DIV/0!</v>
      </c>
      <c r="V38" s="1104">
        <v>0.517236110262209</v>
      </c>
      <c r="W38" s="1104">
        <v>0.5384104687527299</v>
      </c>
      <c r="X38" s="1104">
        <v>0.5644905660377358</v>
      </c>
      <c r="Y38" s="1104">
        <v>0.5728022892127503</v>
      </c>
      <c r="Z38" s="1104" t="e">
        <v>#DIV/0!</v>
      </c>
      <c r="AA38" s="1104" t="e">
        <v>#DIV/0!</v>
      </c>
      <c r="AB38" s="1104" t="e">
        <v>#DIV/0!</v>
      </c>
      <c r="AC38" s="1104" t="e">
        <v>#DIV/0!</v>
      </c>
      <c r="AD38" s="1104" t="e">
        <v>#DIV/0!</v>
      </c>
      <c r="AE38" s="1107">
        <v>0.529</v>
      </c>
      <c r="AF38" s="1107">
        <v>0.474</v>
      </c>
      <c r="AG38" s="1107">
        <v>0.492</v>
      </c>
      <c r="AH38" s="1107">
        <v>0.544</v>
      </c>
      <c r="AI38" s="1107">
        <v>0.508</v>
      </c>
      <c r="AJ38" s="1107">
        <v>0.487</v>
      </c>
      <c r="AK38" s="1107">
        <v>0.527</v>
      </c>
      <c r="AL38" s="1006"/>
      <c r="AM38" s="1104">
        <v>0.48992168012230775</v>
      </c>
      <c r="AN38" s="1104">
        <v>0.5918383673179144</v>
      </c>
      <c r="AO38" s="1103">
        <v>-10.191668719560665</v>
      </c>
      <c r="AP38" s="1100"/>
      <c r="AQ38" s="1006"/>
      <c r="AR38" s="1107">
        <v>0.5915889506118163</v>
      </c>
      <c r="AS38" s="1107">
        <v>0.6540151973902683</v>
      </c>
      <c r="AT38" s="1107">
        <v>0.5170322733795871</v>
      </c>
      <c r="AU38" s="1107">
        <v>0.5575836223833895</v>
      </c>
      <c r="AV38" s="1107">
        <v>0.4933768477634863</v>
      </c>
      <c r="AW38" s="1107">
        <v>0.5178480884291654</v>
      </c>
      <c r="AX38" s="1107">
        <v>0.5259167635235282</v>
      </c>
      <c r="AY38" s="1108">
        <v>0.5466804014089187</v>
      </c>
      <c r="AZ38" s="1108">
        <v>0.4997854728492345</v>
      </c>
      <c r="BA38" s="1108">
        <v>0.568</v>
      </c>
      <c r="BB38" s="957"/>
      <c r="BD38" s="957"/>
      <c r="BE38" s="957"/>
      <c r="BF38" s="957"/>
      <c r="BG38" s="957"/>
    </row>
    <row r="39" spans="1:59" ht="12.75" customHeight="1">
      <c r="A39" s="145" t="s">
        <v>259</v>
      </c>
      <c r="B39" s="1106"/>
      <c r="C39" s="1103">
        <v>-5.256757502736797</v>
      </c>
      <c r="D39" s="1100"/>
      <c r="E39" s="1100"/>
      <c r="F39" s="1104" t="e">
        <v>#DIV/0!</v>
      </c>
      <c r="G39" s="1104">
        <v>0.5781727974188443</v>
      </c>
      <c r="H39" s="1104">
        <v>0.5858254145705236</v>
      </c>
      <c r="I39" s="1104">
        <v>0.5504211020277112</v>
      </c>
      <c r="J39" s="1104">
        <v>0.6793554618897084</v>
      </c>
      <c r="K39" s="1104">
        <v>0.6307403724462123</v>
      </c>
      <c r="L39" s="1104">
        <v>0.7091253778756981</v>
      </c>
      <c r="M39" s="1104">
        <v>0.7721081451060917</v>
      </c>
      <c r="N39" s="1104">
        <v>0.8116912542168068</v>
      </c>
      <c r="O39" s="1104">
        <v>0.6026043300909947</v>
      </c>
      <c r="P39" s="1104">
        <v>0.8218033840222746</v>
      </c>
      <c r="Q39" s="1104">
        <v>0.808565866320571</v>
      </c>
      <c r="R39" s="1104">
        <v>0.535552018521198</v>
      </c>
      <c r="S39" s="1104">
        <v>0.61150863361755</v>
      </c>
      <c r="T39" s="1104">
        <v>0.5947758752317592</v>
      </c>
      <c r="U39" s="1104" t="e">
        <v>#DIV/0!</v>
      </c>
      <c r="V39" s="1104">
        <v>0.5397286229448077</v>
      </c>
      <c r="W39" s="1104">
        <v>0.5577336338382515</v>
      </c>
      <c r="X39" s="1104">
        <v>0.5812830188679246</v>
      </c>
      <c r="Y39" s="1104">
        <v>0.5884075331070739</v>
      </c>
      <c r="Z39" s="1104" t="e">
        <v>#DIV/0!</v>
      </c>
      <c r="AA39" s="1104" t="e">
        <v>#DIV/0!</v>
      </c>
      <c r="AB39" s="1104" t="e">
        <v>#DIV/0!</v>
      </c>
      <c r="AC39" s="1104" t="e">
        <v>#DIV/0!</v>
      </c>
      <c r="AD39" s="1104" t="e">
        <v>#DIV/0!</v>
      </c>
      <c r="AE39" s="1107">
        <v>0.559</v>
      </c>
      <c r="AF39" s="1107">
        <v>0.51</v>
      </c>
      <c r="AG39" s="1107">
        <v>0.517</v>
      </c>
      <c r="AH39" s="1107">
        <v>0.564</v>
      </c>
      <c r="AI39" s="1107">
        <v>0.539</v>
      </c>
      <c r="AJ39" s="1107">
        <v>0.511</v>
      </c>
      <c r="AK39" s="1107">
        <v>0.553</v>
      </c>
      <c r="AL39" s="1006"/>
      <c r="AM39" s="1104">
        <v>0.5728415095351769</v>
      </c>
      <c r="AN39" s="1104">
        <v>0.6946543172565821</v>
      </c>
      <c r="AO39" s="1103">
        <v>-12.181280772140523</v>
      </c>
      <c r="AP39" s="1100"/>
      <c r="AQ39" s="1006"/>
      <c r="AR39" s="1107">
        <v>0.6902451061029775</v>
      </c>
      <c r="AS39" s="1107">
        <v>0.7609048112046569</v>
      </c>
      <c r="AT39" s="1107">
        <v>0.5715010196704684</v>
      </c>
      <c r="AU39" s="1107">
        <v>0.6357484172993426</v>
      </c>
      <c r="AV39" s="1107">
        <v>0.5696596549927324</v>
      </c>
      <c r="AW39" s="1107">
        <v>0.5562738735084339</v>
      </c>
      <c r="AX39" s="1107">
        <v>0.535764173979804</v>
      </c>
      <c r="AY39" s="1108">
        <v>0.5627234664717219</v>
      </c>
      <c r="AZ39" s="1108">
        <v>0.5698887598237738</v>
      </c>
      <c r="BA39" s="1108">
        <v>0.627</v>
      </c>
      <c r="BB39" s="957"/>
      <c r="BD39" s="957"/>
      <c r="BE39" s="957"/>
      <c r="BF39" s="957"/>
      <c r="BG39" s="957"/>
    </row>
    <row r="40" spans="1:59" ht="12.75" customHeight="1">
      <c r="A40" s="1105" t="s">
        <v>85</v>
      </c>
      <c r="B40" s="1106"/>
      <c r="C40" s="1103">
        <v>-22.50299842814791</v>
      </c>
      <c r="D40" s="1100"/>
      <c r="E40" s="1100"/>
      <c r="F40" s="1104" t="e">
        <v>#DIV/0!</v>
      </c>
      <c r="G40" s="1104">
        <v>0.19670659138295768</v>
      </c>
      <c r="H40" s="1104">
        <v>0.40541736538103224</v>
      </c>
      <c r="I40" s="1104">
        <v>0.3231988935266369</v>
      </c>
      <c r="J40" s="1104">
        <v>0.434404636459431</v>
      </c>
      <c r="K40" s="1104">
        <v>0.4217365756644368</v>
      </c>
      <c r="L40" s="1104">
        <v>0.3255879489675667</v>
      </c>
      <c r="M40" s="1104">
        <v>0.6302190280629706</v>
      </c>
      <c r="N40" s="1104">
        <v>1.5814410150546296</v>
      </c>
      <c r="O40" s="1104">
        <v>0.4760746783809225</v>
      </c>
      <c r="P40" s="1104">
        <v>0.6018419361747698</v>
      </c>
      <c r="Q40" s="1104">
        <v>0.7142548128920614</v>
      </c>
      <c r="R40" s="1104">
        <v>0.1941542468528433</v>
      </c>
      <c r="S40" s="1104">
        <v>0.26187925789451133</v>
      </c>
      <c r="T40" s="1104">
        <v>0.3265350638019413</v>
      </c>
      <c r="U40" s="1104" t="e">
        <v>#REF!</v>
      </c>
      <c r="V40" s="1104">
        <v>0.3065827272171628</v>
      </c>
      <c r="W40" s="1104">
        <v>0.10480982581197477</v>
      </c>
      <c r="X40" s="1104">
        <v>0.15381132075471698</v>
      </c>
      <c r="Y40" s="1104">
        <v>0.14983030545018966</v>
      </c>
      <c r="Z40" s="1104" t="e">
        <v>#REF!</v>
      </c>
      <c r="AA40" s="1104" t="e">
        <v>#REF!</v>
      </c>
      <c r="AB40" s="1104" t="e">
        <v>#REF!</v>
      </c>
      <c r="AC40" s="1104" t="e">
        <v>#REF!</v>
      </c>
      <c r="AD40" s="1104" t="e">
        <v>#REF!</v>
      </c>
      <c r="AE40" s="1107">
        <v>0.239</v>
      </c>
      <c r="AF40" s="1107">
        <v>0.32199999999999995</v>
      </c>
      <c r="AG40" s="1107">
        <v>0.16900000000000004</v>
      </c>
      <c r="AH40" s="1107">
        <v>0.21100000000000008</v>
      </c>
      <c r="AI40" s="1107">
        <v>0.20399999999999996</v>
      </c>
      <c r="AJ40" s="1107">
        <v>0.249</v>
      </c>
      <c r="AK40" s="1107">
        <v>0.17899999999999994</v>
      </c>
      <c r="AL40" s="1006"/>
      <c r="AM40" s="1104">
        <v>0.29113805219537053</v>
      </c>
      <c r="AN40" s="1104">
        <v>0.44252546621393396</v>
      </c>
      <c r="AO40" s="1103">
        <v>-15.138741401856343</v>
      </c>
      <c r="AP40" s="1100"/>
      <c r="AQ40" s="1006"/>
      <c r="AR40" s="1104">
        <v>0.4401850000632695</v>
      </c>
      <c r="AS40" s="1104">
        <v>0.9708749243060575</v>
      </c>
      <c r="AT40" s="1104">
        <v>0.2760447575989728</v>
      </c>
      <c r="AU40" s="1104">
        <v>0.24863560288160672</v>
      </c>
      <c r="AV40" s="1104">
        <v>0.4024901955406851</v>
      </c>
      <c r="AW40" s="1104">
        <v>0.19347260250819728</v>
      </c>
      <c r="AX40" s="1104">
        <v>0.13159381964363784</v>
      </c>
      <c r="AY40" s="1104">
        <v>0.13831328504020735</v>
      </c>
      <c r="AZ40" s="1104">
        <v>0.13580091880408962</v>
      </c>
      <c r="BA40" s="1104">
        <v>0.10235740798458617</v>
      </c>
      <c r="BB40" s="957"/>
      <c r="BD40" s="957"/>
      <c r="BE40" s="957"/>
      <c r="BF40" s="957"/>
      <c r="BG40" s="957"/>
    </row>
    <row r="41" spans="1:59" ht="12.75" customHeight="1">
      <c r="A41" s="1105" t="s">
        <v>86</v>
      </c>
      <c r="B41" s="1105"/>
      <c r="C41" s="1103">
        <v>-27.75975593088471</v>
      </c>
      <c r="D41" s="1100"/>
      <c r="E41" s="1100"/>
      <c r="F41" s="1104" t="e">
        <v>#DIV/0!</v>
      </c>
      <c r="G41" s="1104">
        <v>0.774879388801802</v>
      </c>
      <c r="H41" s="1104">
        <v>0.9912427799515559</v>
      </c>
      <c r="I41" s="1104">
        <v>0.8736199955543481</v>
      </c>
      <c r="J41" s="1104">
        <v>1.1137600983491394</v>
      </c>
      <c r="K41" s="1104">
        <v>1.052476948110649</v>
      </c>
      <c r="L41" s="1104">
        <v>1.034713326843265</v>
      </c>
      <c r="M41" s="1104">
        <v>1.4023271731690623</v>
      </c>
      <c r="N41" s="1104">
        <v>2.3931322692714363</v>
      </c>
      <c r="O41" s="1104">
        <v>1.0786790084719171</v>
      </c>
      <c r="P41" s="1104">
        <v>1.4236453201970443</v>
      </c>
      <c r="Q41" s="1104">
        <v>1.5228206792126324</v>
      </c>
      <c r="R41" s="1104">
        <v>0.7297062653740414</v>
      </c>
      <c r="S41" s="1104">
        <v>0.8733878915120613</v>
      </c>
      <c r="T41" s="1104">
        <v>0.9213109390337005</v>
      </c>
      <c r="U41" s="1104" t="e">
        <v>#DIV/0!</v>
      </c>
      <c r="V41" s="1104">
        <v>0.8463113501619706</v>
      </c>
      <c r="W41" s="1104">
        <v>0.6625434596502262</v>
      </c>
      <c r="X41" s="1104">
        <v>0.7350943396226415</v>
      </c>
      <c r="Y41" s="1104">
        <v>0.7382378385572635</v>
      </c>
      <c r="Z41" s="1104" t="e">
        <v>#DIV/0!</v>
      </c>
      <c r="AA41" s="1104" t="e">
        <v>#DIV/0!</v>
      </c>
      <c r="AB41" s="1104" t="e">
        <v>#DIV/0!</v>
      </c>
      <c r="AC41" s="1104" t="e">
        <v>#DIV/0!</v>
      </c>
      <c r="AD41" s="1104" t="e">
        <v>#DIV/0!</v>
      </c>
      <c r="AE41" s="1107">
        <v>0.798</v>
      </c>
      <c r="AF41" s="1107">
        <v>0.832</v>
      </c>
      <c r="AG41" s="1107">
        <v>0.686</v>
      </c>
      <c r="AH41" s="1107">
        <v>0.775</v>
      </c>
      <c r="AI41" s="1107">
        <v>0.743</v>
      </c>
      <c r="AJ41" s="1107">
        <v>0.76</v>
      </c>
      <c r="AK41" s="1107">
        <v>0.732</v>
      </c>
      <c r="AL41" s="1006"/>
      <c r="AM41" s="1104">
        <v>0.8639795617305475</v>
      </c>
      <c r="AN41" s="1104">
        <v>1.1371797834705162</v>
      </c>
      <c r="AO41" s="1103">
        <v>-27.320022173996872</v>
      </c>
      <c r="AP41" s="1100"/>
      <c r="AQ41" s="1006"/>
      <c r="AR41" s="1107">
        <v>1.130430106166247</v>
      </c>
      <c r="AS41" s="1107">
        <v>1.7317797355107143</v>
      </c>
      <c r="AT41" s="1107">
        <v>0.8475457772694411</v>
      </c>
      <c r="AU41" s="1107">
        <v>0.8843840201809494</v>
      </c>
      <c r="AV41" s="1107">
        <v>0.9721498505334174</v>
      </c>
      <c r="AW41" s="1107">
        <v>0.7497464760166311</v>
      </c>
      <c r="AX41" s="1107">
        <v>0.6673579936234418</v>
      </c>
      <c r="AY41" s="1108">
        <v>0.7010367515119292</v>
      </c>
      <c r="AZ41" s="1108">
        <v>0.7056896786278634</v>
      </c>
      <c r="BA41" s="1108">
        <v>0.73</v>
      </c>
      <c r="BB41" s="957"/>
      <c r="BD41" s="957"/>
      <c r="BE41" s="957"/>
      <c r="BF41" s="957"/>
      <c r="BG41" s="957"/>
    </row>
    <row r="42" spans="1:59" ht="12.75" customHeight="1">
      <c r="A42" s="1105" t="s">
        <v>87</v>
      </c>
      <c r="B42" s="1105"/>
      <c r="C42" s="1103">
        <v>27.75975593088471</v>
      </c>
      <c r="D42" s="1100"/>
      <c r="E42" s="1100"/>
      <c r="F42" s="1104" t="e">
        <v>#DIV/0!</v>
      </c>
      <c r="G42" s="1104">
        <v>0.22512061119819807</v>
      </c>
      <c r="H42" s="1104">
        <v>0.008757220048444196</v>
      </c>
      <c r="I42" s="1104">
        <v>0.1263800044456519</v>
      </c>
      <c r="J42" s="1104">
        <v>-0.11376009834913944</v>
      </c>
      <c r="K42" s="1104">
        <v>-0.05247694811064907</v>
      </c>
      <c r="L42" s="1104">
        <v>-0.03471332684326484</v>
      </c>
      <c r="M42" s="1104">
        <v>-0.4023271731690623</v>
      </c>
      <c r="N42" s="1104">
        <v>-1.3931322692714365</v>
      </c>
      <c r="O42" s="1104">
        <v>-0.07867900847191717</v>
      </c>
      <c r="P42" s="1104">
        <v>-0.4236453201970443</v>
      </c>
      <c r="Q42" s="1104">
        <v>-0.5228206792126325</v>
      </c>
      <c r="R42" s="1104">
        <v>0.2702937346259586</v>
      </c>
      <c r="S42" s="1104">
        <v>0.12661210848793863</v>
      </c>
      <c r="T42" s="1104">
        <v>0.07868906096629949</v>
      </c>
      <c r="U42" s="1104" t="e">
        <v>#REF!</v>
      </c>
      <c r="V42" s="1104">
        <v>0.09999388790416233</v>
      </c>
      <c r="W42" s="1104">
        <v>0.3115467267676503</v>
      </c>
      <c r="X42" s="1104">
        <v>0.2130566037735849</v>
      </c>
      <c r="Y42" s="1104">
        <v>0.21321621082052306</v>
      </c>
      <c r="Z42" s="1104" t="e">
        <v>#REF!</v>
      </c>
      <c r="AA42" s="1104" t="e">
        <v>#REF!</v>
      </c>
      <c r="AB42" s="1104" t="e">
        <v>#REF!</v>
      </c>
      <c r="AC42" s="1104" t="e">
        <v>#REF!</v>
      </c>
      <c r="AD42" s="1104" t="e">
        <v>#REF!</v>
      </c>
      <c r="AE42" s="1109" t="s">
        <v>214</v>
      </c>
      <c r="AF42" s="1109" t="s">
        <v>214</v>
      </c>
      <c r="AG42" s="1100"/>
      <c r="AH42" s="1100"/>
      <c r="AI42" s="1100"/>
      <c r="AJ42" s="1100"/>
      <c r="AK42" s="1100"/>
      <c r="AL42" s="1054"/>
      <c r="AM42" s="1104">
        <v>0.13602043826945256</v>
      </c>
      <c r="AN42" s="1104">
        <v>-0.13717978347051607</v>
      </c>
      <c r="AO42" s="1103">
        <v>27.32002217399686</v>
      </c>
      <c r="AP42" s="1100"/>
      <c r="AQ42" s="1054"/>
      <c r="AR42" s="1107">
        <v>-0.13043010616624698</v>
      </c>
      <c r="AS42" s="1107">
        <v>-0.7317797355107144</v>
      </c>
      <c r="AT42" s="1107">
        <v>0.15245422273055884</v>
      </c>
      <c r="AU42" s="1107">
        <v>0.11561597981905063</v>
      </c>
      <c r="AV42" s="1107">
        <v>0.027850149466582562</v>
      </c>
      <c r="AW42" s="1107">
        <v>0.2502535239833688</v>
      </c>
      <c r="AX42" s="1107" t="e">
        <v>#REF!</v>
      </c>
      <c r="AY42" s="1108" t="e">
        <v>#REF!</v>
      </c>
      <c r="AZ42" s="1108" t="e">
        <v>#REF!</v>
      </c>
      <c r="BA42" s="1108"/>
      <c r="BB42" s="957"/>
      <c r="BD42" s="957"/>
      <c r="BE42" s="957"/>
      <c r="BF42" s="957"/>
      <c r="BG42" s="957"/>
    </row>
    <row r="43" spans="1:59" ht="12.75" customHeight="1">
      <c r="A43" s="966"/>
      <c r="B43" s="966"/>
      <c r="C43" s="1006"/>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1006"/>
      <c r="AI43" s="1006"/>
      <c r="AJ43" s="1006"/>
      <c r="AK43" s="1006"/>
      <c r="AL43" s="1006"/>
      <c r="AM43" s="1006"/>
      <c r="AN43" s="1006"/>
      <c r="AO43" s="1112"/>
      <c r="AP43" s="1112"/>
      <c r="AQ43" s="1006"/>
      <c r="AR43" s="1006"/>
      <c r="AS43" s="1006"/>
      <c r="AT43" s="1006"/>
      <c r="AU43" s="1006"/>
      <c r="AV43" s="1006"/>
      <c r="AW43" s="1006"/>
      <c r="AX43" s="1006"/>
      <c r="AY43" s="1113"/>
      <c r="AZ43" s="1113"/>
      <c r="BA43" s="1113"/>
      <c r="BB43" s="957"/>
      <c r="BD43" s="957"/>
      <c r="BE43" s="957"/>
      <c r="BF43" s="957"/>
      <c r="BG43" s="957"/>
    </row>
    <row r="44" spans="1:59" ht="12.75" customHeight="1">
      <c r="A44" s="1106" t="s">
        <v>100</v>
      </c>
      <c r="B44" s="1106"/>
      <c r="C44" s="621">
        <v>-63</v>
      </c>
      <c r="D44" s="1100">
        <v>-0.14858490566037735</v>
      </c>
      <c r="E44" s="1100"/>
      <c r="F44" s="1100"/>
      <c r="G44" s="621">
        <v>361</v>
      </c>
      <c r="H44" s="621">
        <v>385</v>
      </c>
      <c r="I44" s="621">
        <v>388</v>
      </c>
      <c r="J44" s="621">
        <v>400</v>
      </c>
      <c r="K44" s="621">
        <v>424</v>
      </c>
      <c r="L44" s="621">
        <v>420</v>
      </c>
      <c r="M44" s="621">
        <v>427</v>
      </c>
      <c r="N44" s="621">
        <v>461</v>
      </c>
      <c r="O44" s="621">
        <v>143</v>
      </c>
      <c r="P44" s="621">
        <v>152</v>
      </c>
      <c r="Q44" s="621"/>
      <c r="R44" s="621"/>
      <c r="S44" s="621"/>
      <c r="T44" s="621"/>
      <c r="U44" s="621"/>
      <c r="V44" s="621"/>
      <c r="W44" s="621"/>
      <c r="X44" s="621"/>
      <c r="Y44" s="621"/>
      <c r="Z44" s="621"/>
      <c r="AA44" s="621"/>
      <c r="AB44" s="621"/>
      <c r="AC44" s="610"/>
      <c r="AD44" s="610"/>
      <c r="AE44" s="741"/>
      <c r="AF44" s="741"/>
      <c r="AG44" s="741"/>
      <c r="AH44" s="610"/>
      <c r="AI44" s="610"/>
      <c r="AJ44" s="610"/>
      <c r="AK44" s="610"/>
      <c r="AL44" s="610"/>
      <c r="AM44" s="488">
        <v>361</v>
      </c>
      <c r="AN44" s="610">
        <v>424</v>
      </c>
      <c r="AO44" s="1024">
        <v>-63</v>
      </c>
      <c r="AP44" s="1100">
        <v>-0.14858490566037735</v>
      </c>
      <c r="AQ44" s="1006"/>
      <c r="AR44" s="488">
        <v>400</v>
      </c>
      <c r="AS44" s="488">
        <v>461</v>
      </c>
      <c r="AT44" s="488">
        <v>143</v>
      </c>
      <c r="AU44" s="488">
        <v>138</v>
      </c>
      <c r="AV44" s="488">
        <v>105</v>
      </c>
      <c r="AW44" s="1107"/>
      <c r="AX44" s="1110"/>
      <c r="AY44" s="1111"/>
      <c r="AZ44" s="1111"/>
      <c r="BA44" s="1111"/>
      <c r="BB44" s="957"/>
      <c r="BD44" s="957"/>
      <c r="BE44" s="957"/>
      <c r="BF44" s="957"/>
      <c r="BG44" s="957"/>
    </row>
    <row r="45" spans="1:59" ht="12.75" customHeight="1">
      <c r="A45" s="1106"/>
      <c r="B45" s="1106"/>
      <c r="C45" s="1103"/>
      <c r="D45" s="1100"/>
      <c r="E45" s="1100"/>
      <c r="F45" s="1100"/>
      <c r="G45" s="1100"/>
      <c r="H45" s="1100"/>
      <c r="I45" s="621"/>
      <c r="J45" s="621"/>
      <c r="K45" s="621"/>
      <c r="L45" s="621"/>
      <c r="M45" s="621"/>
      <c r="N45" s="621"/>
      <c r="O45" s="621"/>
      <c r="P45" s="621"/>
      <c r="Q45" s="621"/>
      <c r="R45" s="621"/>
      <c r="S45" s="621"/>
      <c r="T45" s="621"/>
      <c r="U45" s="621"/>
      <c r="V45" s="621"/>
      <c r="W45" s="621"/>
      <c r="X45" s="621"/>
      <c r="Y45" s="621"/>
      <c r="Z45" s="621"/>
      <c r="AA45" s="621"/>
      <c r="AB45" s="621"/>
      <c r="AC45" s="610"/>
      <c r="AD45" s="610"/>
      <c r="AE45" s="741"/>
      <c r="AF45" s="741"/>
      <c r="AG45" s="741"/>
      <c r="AH45" s="610"/>
      <c r="AI45" s="610"/>
      <c r="AJ45" s="610"/>
      <c r="AK45" s="610"/>
      <c r="AL45" s="610"/>
      <c r="AM45" s="610"/>
      <c r="AN45" s="610"/>
      <c r="AO45" s="1024"/>
      <c r="AP45" s="1100"/>
      <c r="AQ45" s="1006"/>
      <c r="AR45" s="488"/>
      <c r="AS45" s="488"/>
      <c r="AT45" s="488"/>
      <c r="AU45" s="488"/>
      <c r="AV45" s="488"/>
      <c r="AW45" s="1107"/>
      <c r="AX45" s="1110"/>
      <c r="AY45" s="1111"/>
      <c r="AZ45" s="1111"/>
      <c r="BA45" s="1111"/>
      <c r="BB45" s="957"/>
      <c r="BD45" s="957"/>
      <c r="BE45" s="957"/>
      <c r="BF45" s="957"/>
      <c r="BG45" s="957"/>
    </row>
    <row r="46" spans="1:59" ht="18" customHeight="1">
      <c r="A46" s="1114" t="s">
        <v>324</v>
      </c>
      <c r="B46" s="966"/>
      <c r="C46" s="1010"/>
      <c r="D46" s="1010"/>
      <c r="E46" s="1006"/>
      <c r="F46" s="1006"/>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c r="AE46" s="1006"/>
      <c r="AF46" s="1010"/>
      <c r="AG46" s="1010"/>
      <c r="AH46" s="1010"/>
      <c r="AI46" s="1010"/>
      <c r="AJ46" s="1010"/>
      <c r="AK46" s="1010"/>
      <c r="AL46" s="1010"/>
      <c r="AM46" s="1010"/>
      <c r="AN46" s="1010"/>
      <c r="AO46" s="1112"/>
      <c r="AP46" s="1112"/>
      <c r="AQ46" s="1010"/>
      <c r="AR46" s="1010"/>
      <c r="AS46" s="1010"/>
      <c r="AT46" s="1010"/>
      <c r="AU46" s="1010"/>
      <c r="AV46" s="1010"/>
      <c r="AW46" s="1010"/>
      <c r="AX46" s="1010"/>
      <c r="AY46" s="1115"/>
      <c r="AZ46" s="1115"/>
      <c r="BA46" s="1115"/>
      <c r="BB46" s="957"/>
      <c r="BD46" s="957"/>
      <c r="BE46" s="957"/>
      <c r="BF46" s="957"/>
      <c r="BG46" s="957"/>
    </row>
    <row r="47" spans="1:59" ht="12.75" customHeight="1">
      <c r="A47" s="1116"/>
      <c r="B47" s="966"/>
      <c r="C47" s="1010"/>
      <c r="D47" s="1010"/>
      <c r="E47" s="1006"/>
      <c r="F47" s="1006"/>
      <c r="G47" s="1117"/>
      <c r="H47" s="1117"/>
      <c r="I47" s="1006"/>
      <c r="J47" s="1006"/>
      <c r="K47" s="1006"/>
      <c r="L47" s="1117"/>
      <c r="M47" s="1006"/>
      <c r="N47" s="1006"/>
      <c r="O47" s="1006"/>
      <c r="P47" s="1117"/>
      <c r="Q47" s="1006"/>
      <c r="R47" s="1117"/>
      <c r="S47" s="1006"/>
      <c r="T47" s="1117"/>
      <c r="U47" s="1006"/>
      <c r="V47" s="1117"/>
      <c r="W47" s="1006"/>
      <c r="X47" s="1117"/>
      <c r="Y47" s="1006"/>
      <c r="Z47" s="1117"/>
      <c r="AA47" s="1006"/>
      <c r="AB47" s="1006"/>
      <c r="AC47" s="1006"/>
      <c r="AD47" s="1006"/>
      <c r="AE47" s="1006"/>
      <c r="AF47" s="1010"/>
      <c r="AG47" s="1010"/>
      <c r="AH47" s="1010"/>
      <c r="AI47" s="1010"/>
      <c r="AJ47" s="1010"/>
      <c r="AK47" s="1010"/>
      <c r="AL47" s="1010"/>
      <c r="AM47" s="1010"/>
      <c r="AN47" s="1010"/>
      <c r="AO47" s="1112"/>
      <c r="AP47" s="1112"/>
      <c r="AQ47" s="1010"/>
      <c r="AR47" s="1010"/>
      <c r="AS47" s="1010"/>
      <c r="AT47" s="1010"/>
      <c r="AU47" s="1010"/>
      <c r="AV47" s="1010"/>
      <c r="AW47" s="1010"/>
      <c r="AX47" s="1010"/>
      <c r="AY47" s="1115"/>
      <c r="AZ47" s="1115"/>
      <c r="BA47" s="1115"/>
      <c r="BB47" s="957"/>
      <c r="BD47" s="957"/>
      <c r="BE47" s="957"/>
      <c r="BF47" s="957"/>
      <c r="BG47" s="957"/>
    </row>
    <row r="48" spans="1:59" ht="12.75" customHeight="1">
      <c r="A48" s="965"/>
      <c r="B48" s="966"/>
      <c r="C48" s="1455" t="s">
        <v>497</v>
      </c>
      <c r="D48" s="1456"/>
      <c r="E48" s="967"/>
      <c r="F48" s="1007"/>
      <c r="G48" s="1006"/>
      <c r="H48" s="1006"/>
      <c r="I48" s="1222"/>
      <c r="J48" s="1007"/>
      <c r="K48" s="1007"/>
      <c r="L48" s="1006"/>
      <c r="M48" s="1222"/>
      <c r="N48" s="1007"/>
      <c r="O48" s="1007"/>
      <c r="P48" s="1006"/>
      <c r="Q48" s="1222"/>
      <c r="R48" s="1006"/>
      <c r="S48" s="1007"/>
      <c r="T48" s="1006"/>
      <c r="U48" s="1222"/>
      <c r="V48" s="1006"/>
      <c r="W48" s="1007"/>
      <c r="X48" s="1006"/>
      <c r="Y48" s="1222"/>
      <c r="Z48" s="1007"/>
      <c r="AA48" s="1007"/>
      <c r="AB48" s="1007"/>
      <c r="AC48" s="1222"/>
      <c r="AD48" s="1007"/>
      <c r="AE48" s="1007"/>
      <c r="AF48" s="1007"/>
      <c r="AG48" s="1007"/>
      <c r="AH48" s="1118"/>
      <c r="AI48" s="1222"/>
      <c r="AJ48" s="1222"/>
      <c r="AK48" s="1222"/>
      <c r="AL48" s="1005"/>
      <c r="AM48" s="725" t="s">
        <v>406</v>
      </c>
      <c r="AN48" s="711"/>
      <c r="AO48" s="711" t="s">
        <v>480</v>
      </c>
      <c r="AP48" s="712"/>
      <c r="AQ48" s="972"/>
      <c r="AR48" s="973"/>
      <c r="AS48" s="973"/>
      <c r="AT48" s="973"/>
      <c r="AU48" s="973"/>
      <c r="AV48" s="973"/>
      <c r="AW48" s="1118"/>
      <c r="AX48" s="1119"/>
      <c r="AY48" s="973"/>
      <c r="AZ48" s="973"/>
      <c r="BA48" s="973"/>
      <c r="BB48" s="976"/>
      <c r="BD48" s="957"/>
      <c r="BE48" s="957"/>
      <c r="BF48" s="957"/>
      <c r="BG48" s="957"/>
    </row>
    <row r="49" spans="1:59" ht="12.75" customHeight="1">
      <c r="A49" s="965" t="s">
        <v>107</v>
      </c>
      <c r="B49" s="966"/>
      <c r="C49" s="1452" t="s">
        <v>41</v>
      </c>
      <c r="D49" s="1453"/>
      <c r="E49" s="1223"/>
      <c r="F49" s="978"/>
      <c r="G49" s="978" t="s">
        <v>430</v>
      </c>
      <c r="H49" s="978" t="s">
        <v>429</v>
      </c>
      <c r="I49" s="979" t="s">
        <v>427</v>
      </c>
      <c r="J49" s="978" t="s">
        <v>362</v>
      </c>
      <c r="K49" s="978" t="s">
        <v>363</v>
      </c>
      <c r="L49" s="978" t="s">
        <v>364</v>
      </c>
      <c r="M49" s="979" t="s">
        <v>365</v>
      </c>
      <c r="N49" s="978" t="s">
        <v>277</v>
      </c>
      <c r="O49" s="978" t="s">
        <v>278</v>
      </c>
      <c r="P49" s="978" t="s">
        <v>279</v>
      </c>
      <c r="Q49" s="979" t="s">
        <v>276</v>
      </c>
      <c r="R49" s="978" t="s">
        <v>222</v>
      </c>
      <c r="S49" s="978" t="s">
        <v>223</v>
      </c>
      <c r="T49" s="978" t="s">
        <v>224</v>
      </c>
      <c r="U49" s="979" t="s">
        <v>225</v>
      </c>
      <c r="V49" s="978" t="s">
        <v>141</v>
      </c>
      <c r="W49" s="978" t="s">
        <v>140</v>
      </c>
      <c r="X49" s="978" t="s">
        <v>139</v>
      </c>
      <c r="Y49" s="979" t="s">
        <v>138</v>
      </c>
      <c r="Z49" s="978" t="s">
        <v>91</v>
      </c>
      <c r="AA49" s="978" t="s">
        <v>92</v>
      </c>
      <c r="AB49" s="978" t="s">
        <v>93</v>
      </c>
      <c r="AC49" s="979" t="s">
        <v>32</v>
      </c>
      <c r="AD49" s="978" t="s">
        <v>33</v>
      </c>
      <c r="AE49" s="978" t="s">
        <v>34</v>
      </c>
      <c r="AF49" s="978" t="s">
        <v>35</v>
      </c>
      <c r="AG49" s="978" t="s">
        <v>36</v>
      </c>
      <c r="AH49" s="980" t="s">
        <v>37</v>
      </c>
      <c r="AI49" s="979" t="s">
        <v>38</v>
      </c>
      <c r="AJ49" s="979" t="s">
        <v>39</v>
      </c>
      <c r="AK49" s="979" t="s">
        <v>40</v>
      </c>
      <c r="AL49" s="967"/>
      <c r="AM49" s="21" t="s">
        <v>430</v>
      </c>
      <c r="AN49" s="21" t="s">
        <v>363</v>
      </c>
      <c r="AO49" s="1454" t="s">
        <v>41</v>
      </c>
      <c r="AP49" s="1440"/>
      <c r="AQ49" s="1120"/>
      <c r="AR49" s="980" t="s">
        <v>367</v>
      </c>
      <c r="AS49" s="980" t="s">
        <v>285</v>
      </c>
      <c r="AT49" s="980" t="s">
        <v>143</v>
      </c>
      <c r="AU49" s="980" t="s">
        <v>142</v>
      </c>
      <c r="AV49" s="980" t="s">
        <v>45</v>
      </c>
      <c r="AW49" s="980" t="s">
        <v>42</v>
      </c>
      <c r="AX49" s="982" t="s">
        <v>43</v>
      </c>
      <c r="AY49" s="982" t="s">
        <v>165</v>
      </c>
      <c r="AZ49" s="982" t="s">
        <v>166</v>
      </c>
      <c r="BA49" s="982" t="s">
        <v>167</v>
      </c>
      <c r="BB49" s="976"/>
      <c r="BD49" s="957"/>
      <c r="BE49" s="957"/>
      <c r="BF49" s="957"/>
      <c r="BG49" s="957"/>
    </row>
    <row r="50" spans="1:59" ht="12.75" customHeight="1">
      <c r="A50" s="1121"/>
      <c r="B50" s="1006" t="s">
        <v>4</v>
      </c>
      <c r="C50" s="1122">
        <v>21459</v>
      </c>
      <c r="D50" s="1123">
        <v>0.4849710721388537</v>
      </c>
      <c r="E50" s="1005"/>
      <c r="F50" s="1124"/>
      <c r="G50" s="1124">
        <v>65707</v>
      </c>
      <c r="H50" s="1124">
        <v>42936</v>
      </c>
      <c r="I50" s="1125">
        <v>40489</v>
      </c>
      <c r="J50" s="1124">
        <v>45552</v>
      </c>
      <c r="K50" s="1124">
        <v>44248</v>
      </c>
      <c r="L50" s="1124">
        <v>39034</v>
      </c>
      <c r="M50" s="1125">
        <v>29220</v>
      </c>
      <c r="N50" s="1124">
        <v>19861</v>
      </c>
      <c r="O50" s="1124">
        <v>12748</v>
      </c>
      <c r="P50" s="1124">
        <v>9338</v>
      </c>
      <c r="Q50" s="1125">
        <v>9246</v>
      </c>
      <c r="R50" s="1124">
        <v>34555</v>
      </c>
      <c r="S50" s="1126">
        <v>23339</v>
      </c>
      <c r="T50" s="1124">
        <v>18338</v>
      </c>
      <c r="U50" s="1125">
        <v>0</v>
      </c>
      <c r="V50" s="1124">
        <v>32806</v>
      </c>
      <c r="W50" s="1126">
        <v>58040</v>
      </c>
      <c r="X50" s="1124">
        <v>27314</v>
      </c>
      <c r="Y50" s="1125">
        <v>30054</v>
      </c>
      <c r="Z50" s="1126">
        <v>25033</v>
      </c>
      <c r="AA50" s="1126">
        <v>12639</v>
      </c>
      <c r="AB50" s="1124">
        <v>23461</v>
      </c>
      <c r="AC50" s="1125">
        <v>34352</v>
      </c>
      <c r="AD50" s="1036">
        <v>31944</v>
      </c>
      <c r="AE50" s="1036">
        <v>42952</v>
      </c>
      <c r="AF50" s="1036">
        <v>39210</v>
      </c>
      <c r="AG50" s="1036">
        <v>62549</v>
      </c>
      <c r="AH50" s="1079">
        <v>57382</v>
      </c>
      <c r="AI50" s="1017">
        <v>48897</v>
      </c>
      <c r="AJ50" s="1017">
        <v>38533</v>
      </c>
      <c r="AK50" s="1035">
        <v>42750</v>
      </c>
      <c r="AL50" s="1005"/>
      <c r="AM50" s="1019">
        <v>149132</v>
      </c>
      <c r="AN50" s="1019">
        <v>112502</v>
      </c>
      <c r="AO50" s="1131">
        <v>36630</v>
      </c>
      <c r="AP50" s="1014">
        <v>0.3255942116584594</v>
      </c>
      <c r="AQ50" s="1010"/>
      <c r="AR50" s="1128">
        <v>158054</v>
      </c>
      <c r="AS50" s="1128">
        <v>51193</v>
      </c>
      <c r="AT50" s="1128">
        <v>92677</v>
      </c>
      <c r="AU50" s="1128">
        <v>82454</v>
      </c>
      <c r="AV50" s="1128">
        <v>72926</v>
      </c>
      <c r="AW50" s="1128">
        <v>118332</v>
      </c>
      <c r="AX50" s="1129">
        <v>187562</v>
      </c>
      <c r="AY50" s="1083">
        <v>150470</v>
      </c>
      <c r="AZ50" s="1083">
        <v>95559</v>
      </c>
      <c r="BA50" s="1083">
        <v>211758</v>
      </c>
      <c r="BB50" s="976"/>
      <c r="BD50" s="957"/>
      <c r="BE50" s="957"/>
      <c r="BF50" s="957"/>
      <c r="BG50" s="957"/>
    </row>
    <row r="51" spans="1:59" s="1408" customFormat="1" ht="12.75" customHeight="1">
      <c r="A51" s="1010"/>
      <c r="B51" s="1006" t="s">
        <v>90</v>
      </c>
      <c r="C51" s="1122">
        <v>7703</v>
      </c>
      <c r="D51" s="1123">
        <v>0.1782606683328705</v>
      </c>
      <c r="E51" s="1130"/>
      <c r="F51" s="1124"/>
      <c r="G51" s="1124">
        <v>50915</v>
      </c>
      <c r="H51" s="1124">
        <v>41253</v>
      </c>
      <c r="I51" s="1125">
        <v>35372</v>
      </c>
      <c r="J51" s="1124">
        <v>44134</v>
      </c>
      <c r="K51" s="1124">
        <v>43212</v>
      </c>
      <c r="L51" s="1124">
        <v>39343</v>
      </c>
      <c r="M51" s="1125">
        <v>39272</v>
      </c>
      <c r="N51" s="1124">
        <v>23596</v>
      </c>
      <c r="O51" s="1124">
        <v>13341</v>
      </c>
      <c r="P51" s="1124">
        <v>13294</v>
      </c>
      <c r="Q51" s="1125">
        <v>14080</v>
      </c>
      <c r="R51" s="1124">
        <v>25215</v>
      </c>
      <c r="S51" s="1124">
        <v>20384</v>
      </c>
      <c r="T51" s="1124">
        <v>16895</v>
      </c>
      <c r="U51" s="1125" t="e">
        <v>#REF!</v>
      </c>
      <c r="V51" s="1124">
        <v>22693</v>
      </c>
      <c r="W51" s="1124">
        <v>37922</v>
      </c>
      <c r="X51" s="1124">
        <v>19480</v>
      </c>
      <c r="Y51" s="1125">
        <v>22187</v>
      </c>
      <c r="Z51" s="1124" t="e">
        <v>#REF!</v>
      </c>
      <c r="AA51" s="1124" t="e">
        <v>#REF!</v>
      </c>
      <c r="AB51" s="1124" t="e">
        <v>#REF!</v>
      </c>
      <c r="AC51" s="1125" t="e">
        <v>#REF!</v>
      </c>
      <c r="AD51" s="1036" t="e">
        <v>#REF!</v>
      </c>
      <c r="AE51" s="1036">
        <v>86348</v>
      </c>
      <c r="AF51" s="1036">
        <v>72982</v>
      </c>
      <c r="AG51" s="1036">
        <v>106349</v>
      </c>
      <c r="AH51" s="1037">
        <v>100905</v>
      </c>
      <c r="AI51" s="1017">
        <v>75317</v>
      </c>
      <c r="AJ51" s="1017">
        <v>70703</v>
      </c>
      <c r="AK51" s="1017">
        <v>91522</v>
      </c>
      <c r="AL51" s="1005"/>
      <c r="AM51" s="1064">
        <v>127540</v>
      </c>
      <c r="AN51" s="1019">
        <v>121827</v>
      </c>
      <c r="AO51" s="1131">
        <v>5713</v>
      </c>
      <c r="AP51" s="1132">
        <v>0.046894366601820614</v>
      </c>
      <c r="AQ51" s="1010"/>
      <c r="AR51" s="1128">
        <v>165961</v>
      </c>
      <c r="AS51" s="1128">
        <v>64311</v>
      </c>
      <c r="AT51" s="1128">
        <v>78548</v>
      </c>
      <c r="AU51" s="1128">
        <v>72921</v>
      </c>
      <c r="AV51" s="1128">
        <v>69621</v>
      </c>
      <c r="AW51" s="1037">
        <v>88719</v>
      </c>
      <c r="AX51" s="1133">
        <v>125171</v>
      </c>
      <c r="AY51" s="1039">
        <v>105485</v>
      </c>
      <c r="AZ51" s="1039">
        <v>67435</v>
      </c>
      <c r="BA51" s="1039">
        <v>154490</v>
      </c>
      <c r="BB51" s="1407"/>
      <c r="BD51" s="1409"/>
      <c r="BE51" s="1409"/>
      <c r="BF51" s="1409"/>
      <c r="BG51" s="1409"/>
    </row>
    <row r="52" spans="1:59" s="1408" customFormat="1" ht="24.75" customHeight="1">
      <c r="A52" s="1010"/>
      <c r="B52" s="1091" t="s">
        <v>216</v>
      </c>
      <c r="C52" s="1122">
        <v>13756</v>
      </c>
      <c r="D52" s="1224" t="s">
        <v>44</v>
      </c>
      <c r="E52" s="1130"/>
      <c r="F52" s="1124"/>
      <c r="G52" s="1124">
        <v>14792</v>
      </c>
      <c r="H52" s="1124">
        <v>1683</v>
      </c>
      <c r="I52" s="1125">
        <v>5117</v>
      </c>
      <c r="J52" s="488">
        <v>1418</v>
      </c>
      <c r="K52" s="488">
        <v>1036</v>
      </c>
      <c r="L52" s="488">
        <v>-309</v>
      </c>
      <c r="M52" s="855">
        <v>-10052</v>
      </c>
      <c r="N52" s="488">
        <v>-3735</v>
      </c>
      <c r="O52" s="488">
        <v>-593</v>
      </c>
      <c r="P52" s="488">
        <v>-3956</v>
      </c>
      <c r="Q52" s="855">
        <v>-4834</v>
      </c>
      <c r="R52" s="488">
        <v>9340</v>
      </c>
      <c r="S52" s="488">
        <v>2955</v>
      </c>
      <c r="T52" s="488">
        <v>1443</v>
      </c>
      <c r="U52" s="855" t="e">
        <v>#REF!</v>
      </c>
      <c r="V52" s="488">
        <v>10113</v>
      </c>
      <c r="W52" s="488">
        <v>20118</v>
      </c>
      <c r="X52" s="488">
        <v>7834</v>
      </c>
      <c r="Y52" s="855">
        <v>7867</v>
      </c>
      <c r="Z52" s="488" t="e">
        <v>#REF!</v>
      </c>
      <c r="AA52" s="488" t="e">
        <v>#REF!</v>
      </c>
      <c r="AB52" s="488" t="e">
        <v>#REF!</v>
      </c>
      <c r="AC52" s="855" t="e">
        <v>#REF!</v>
      </c>
      <c r="AD52" s="488" t="e">
        <v>#REF!</v>
      </c>
      <c r="AE52" s="488">
        <v>23235</v>
      </c>
      <c r="AF52" s="488">
        <v>16089</v>
      </c>
      <c r="AG52" s="488">
        <v>48674</v>
      </c>
      <c r="AH52" s="1355">
        <v>29246</v>
      </c>
      <c r="AI52" s="762">
        <v>26110</v>
      </c>
      <c r="AJ52" s="762">
        <v>22330</v>
      </c>
      <c r="AK52" s="762">
        <v>33584</v>
      </c>
      <c r="AL52" s="662"/>
      <c r="AM52" s="621">
        <v>21592</v>
      </c>
      <c r="AN52" s="621">
        <v>-9325</v>
      </c>
      <c r="AO52" s="661">
        <v>30917</v>
      </c>
      <c r="AP52" s="1224" t="s">
        <v>44</v>
      </c>
      <c r="AQ52" s="1010"/>
      <c r="AR52" s="1128">
        <v>-7907</v>
      </c>
      <c r="AS52" s="1128">
        <v>-13118</v>
      </c>
      <c r="AT52" s="1128">
        <v>14129</v>
      </c>
      <c r="AU52" s="1128">
        <v>9533</v>
      </c>
      <c r="AV52" s="1128">
        <v>3305</v>
      </c>
      <c r="AW52" s="1134">
        <v>29613</v>
      </c>
      <c r="AX52" s="1135">
        <v>62391</v>
      </c>
      <c r="AY52" s="1136">
        <v>44985</v>
      </c>
      <c r="AZ52" s="1136">
        <v>28124</v>
      </c>
      <c r="BA52" s="1136">
        <v>57268</v>
      </c>
      <c r="BB52" s="1407"/>
      <c r="BD52" s="1409"/>
      <c r="BE52" s="1409"/>
      <c r="BF52" s="1409"/>
      <c r="BG52" s="1409"/>
    </row>
    <row r="53" spans="1:59" s="1408" customFormat="1" ht="24.75" customHeight="1">
      <c r="A53" s="1010"/>
      <c r="B53" s="1091" t="s">
        <v>457</v>
      </c>
      <c r="C53" s="1137">
        <v>13289</v>
      </c>
      <c r="D53" s="1138" t="s">
        <v>44</v>
      </c>
      <c r="E53" s="1130"/>
      <c r="F53" s="1018"/>
      <c r="G53" s="1018">
        <v>16068</v>
      </c>
      <c r="H53" s="1018">
        <v>2523</v>
      </c>
      <c r="I53" s="1139">
        <v>5700</v>
      </c>
      <c r="J53" s="1339">
        <v>3187</v>
      </c>
      <c r="K53" s="1339">
        <v>2779</v>
      </c>
      <c r="L53" s="1339">
        <v>1705</v>
      </c>
      <c r="M53" s="1327">
        <v>-8842</v>
      </c>
      <c r="N53" s="1339">
        <v>-3735</v>
      </c>
      <c r="O53" s="1339">
        <v>-593</v>
      </c>
      <c r="P53" s="1339">
        <v>-3956</v>
      </c>
      <c r="Q53" s="1327">
        <v>-4834</v>
      </c>
      <c r="R53" s="1339">
        <v>9340</v>
      </c>
      <c r="S53" s="1339"/>
      <c r="T53" s="1339"/>
      <c r="U53" s="1327"/>
      <c r="V53" s="1339"/>
      <c r="W53" s="1339"/>
      <c r="X53" s="1339"/>
      <c r="Y53" s="1327"/>
      <c r="Z53" s="1339"/>
      <c r="AA53" s="1339"/>
      <c r="AB53" s="1339"/>
      <c r="AC53" s="1327"/>
      <c r="AD53" s="1339"/>
      <c r="AE53" s="1339"/>
      <c r="AF53" s="1339"/>
      <c r="AG53" s="1339"/>
      <c r="AH53" s="1356"/>
      <c r="AI53" s="860"/>
      <c r="AJ53" s="860"/>
      <c r="AK53" s="860"/>
      <c r="AL53" s="662"/>
      <c r="AM53" s="1339">
        <v>24291</v>
      </c>
      <c r="AN53" s="1339">
        <v>-4358</v>
      </c>
      <c r="AO53" s="1357">
        <v>28649</v>
      </c>
      <c r="AP53" s="1138" t="s">
        <v>44</v>
      </c>
      <c r="AQ53" s="1010"/>
      <c r="AR53" s="1141">
        <v>-7907</v>
      </c>
      <c r="AS53" s="1141">
        <v>-13118</v>
      </c>
      <c r="AT53" s="1141">
        <v>14129</v>
      </c>
      <c r="AU53" s="1141">
        <v>9533</v>
      </c>
      <c r="AV53" s="1141">
        <v>3305</v>
      </c>
      <c r="AW53" s="1036"/>
      <c r="AX53" s="1036"/>
      <c r="AY53" s="1050"/>
      <c r="AZ53" s="1050"/>
      <c r="BA53" s="1050"/>
      <c r="BB53" s="1409"/>
      <c r="BD53" s="1409"/>
      <c r="BE53" s="1409"/>
      <c r="BF53" s="1409"/>
      <c r="BG53" s="1409"/>
    </row>
    <row r="54" spans="1:59" s="1408" customFormat="1" ht="12.75" customHeight="1">
      <c r="A54" s="1010"/>
      <c r="B54" s="1006"/>
      <c r="C54" s="1142"/>
      <c r="D54" s="1110"/>
      <c r="E54" s="1110"/>
      <c r="F54" s="1110"/>
      <c r="G54" s="966"/>
      <c r="H54" s="966"/>
      <c r="I54" s="1006"/>
      <c r="J54" s="1110"/>
      <c r="K54" s="1110"/>
      <c r="L54" s="966"/>
      <c r="M54" s="1006"/>
      <c r="N54" s="1110"/>
      <c r="O54" s="1110"/>
      <c r="P54" s="966"/>
      <c r="Q54" s="1006"/>
      <c r="R54" s="1110"/>
      <c r="S54" s="1110"/>
      <c r="T54" s="1110"/>
      <c r="U54" s="1006"/>
      <c r="V54" s="1110"/>
      <c r="W54" s="1110"/>
      <c r="X54" s="1110"/>
      <c r="Y54" s="1006"/>
      <c r="Z54" s="1110"/>
      <c r="AA54" s="1110"/>
      <c r="AB54" s="1110"/>
      <c r="AC54" s="1006"/>
      <c r="AD54" s="1010"/>
      <c r="AE54" s="1010"/>
      <c r="AF54" s="1010"/>
      <c r="AG54" s="1010"/>
      <c r="AH54" s="1010"/>
      <c r="AI54" s="1010"/>
      <c r="AJ54" s="1010"/>
      <c r="AK54" s="1010"/>
      <c r="AL54" s="1006"/>
      <c r="AM54" s="1110"/>
      <c r="AN54" s="1110"/>
      <c r="AO54" s="1143"/>
      <c r="AP54" s="1144"/>
      <c r="AQ54" s="1006"/>
      <c r="AR54" s="1006"/>
      <c r="AS54" s="1006"/>
      <c r="AT54" s="1006"/>
      <c r="AU54" s="1006"/>
      <c r="AV54" s="1006"/>
      <c r="AW54" s="1010"/>
      <c r="AX54" s="1010"/>
      <c r="AY54" s="1050"/>
      <c r="AZ54" s="1050"/>
      <c r="BA54" s="1050"/>
      <c r="BB54" s="1409"/>
      <c r="BD54" s="1409"/>
      <c r="BE54" s="1409"/>
      <c r="BF54" s="1409"/>
      <c r="BG54" s="1409"/>
    </row>
    <row r="55" spans="1:59" ht="12.75" customHeight="1">
      <c r="A55" s="1010"/>
      <c r="B55" s="1105" t="s">
        <v>85</v>
      </c>
      <c r="C55" s="1103">
        <v>-14.913954855557062</v>
      </c>
      <c r="D55" s="1110"/>
      <c r="E55" s="1110"/>
      <c r="F55" s="1110" t="e">
        <v>#DIV/0!</v>
      </c>
      <c r="G55" s="1110">
        <v>0.19670659138295768</v>
      </c>
      <c r="H55" s="1110">
        <v>0.37497670952114776</v>
      </c>
      <c r="I55" s="1110">
        <v>0.3231988935266369</v>
      </c>
      <c r="J55" s="1110">
        <v>0.28951527924130666</v>
      </c>
      <c r="K55" s="1110">
        <v>0.3458461399385283</v>
      </c>
      <c r="L55" s="1110">
        <v>0.2987907977660501</v>
      </c>
      <c r="M55" s="1110">
        <v>0.5719028062970568</v>
      </c>
      <c r="N55" s="1110">
        <v>0.37636574190624844</v>
      </c>
      <c r="O55" s="1110">
        <v>0.4439127706306872</v>
      </c>
      <c r="P55" s="1110">
        <v>0.6018419361747698</v>
      </c>
      <c r="Q55" s="1110">
        <v>0.7142548128920614</v>
      </c>
      <c r="R55" s="1110">
        <v>0.1941542468528433</v>
      </c>
      <c r="S55" s="1110">
        <v>0.26187925789451133</v>
      </c>
      <c r="T55" s="1110">
        <v>0.3265350638019413</v>
      </c>
      <c r="U55" s="1110" t="e">
        <v>#REF!</v>
      </c>
      <c r="V55" s="1110">
        <v>0.1537803312755944</v>
      </c>
      <c r="W55" s="1110">
        <v>0.10480982581197477</v>
      </c>
      <c r="X55" s="1110">
        <v>0.15381132075471698</v>
      </c>
      <c r="Y55" s="1110">
        <v>0.14983030545018966</v>
      </c>
      <c r="Z55" s="1110" t="e">
        <v>#DIV/0!</v>
      </c>
      <c r="AA55" s="1110" t="e">
        <v>#DIV/0!</v>
      </c>
      <c r="AB55" s="1110" t="e">
        <v>#DIV/0!</v>
      </c>
      <c r="AC55" s="1110" t="e">
        <v>#DIV/0!</v>
      </c>
      <c r="AD55" s="1110" t="e">
        <v>#DIV/0!</v>
      </c>
      <c r="AE55" s="1107">
        <v>0.22941514650995137</v>
      </c>
      <c r="AF55" s="1107">
        <v>0.30967430476810637</v>
      </c>
      <c r="AG55" s="1107">
        <v>0.16900000000000004</v>
      </c>
      <c r="AH55" s="1107">
        <v>0.21100000000000008</v>
      </c>
      <c r="AI55" s="1107">
        <v>0.20399999999999996</v>
      </c>
      <c r="AJ55" s="1107">
        <v>0.249</v>
      </c>
      <c r="AK55" s="1107">
        <v>0.17899999999999994</v>
      </c>
      <c r="AL55" s="1006"/>
      <c r="AM55" s="1110">
        <v>0.2823740042378564</v>
      </c>
      <c r="AN55" s="1110">
        <v>0.3882330980782564</v>
      </c>
      <c r="AO55" s="1103">
        <v>-10.585909384039999</v>
      </c>
      <c r="AP55" s="1144"/>
      <c r="AQ55" s="1006"/>
      <c r="AR55" s="1107">
        <v>0.3597820997886798</v>
      </c>
      <c r="AS55" s="1107">
        <v>0.4953411599242084</v>
      </c>
      <c r="AT55" s="1107">
        <v>0.2760447575989728</v>
      </c>
      <c r="AU55" s="1107">
        <v>0.13384477827906055</v>
      </c>
      <c r="AV55" s="1107">
        <v>0.38502043167046046</v>
      </c>
      <c r="AW55" s="1107">
        <v>0.19347260250819728</v>
      </c>
      <c r="AX55" s="1107">
        <v>0.13159381964363784</v>
      </c>
      <c r="AY55" s="1105">
        <v>0.13831328504020735</v>
      </c>
      <c r="AZ55" s="1105">
        <v>0.13580091880408962</v>
      </c>
      <c r="BA55" s="1105">
        <v>0.10299999999999998</v>
      </c>
      <c r="BB55" s="957"/>
      <c r="BD55" s="957"/>
      <c r="BE55" s="957"/>
      <c r="BF55" s="957"/>
      <c r="BG55" s="957"/>
    </row>
    <row r="56" spans="1:59" ht="12.75" customHeight="1">
      <c r="A56" s="1010"/>
      <c r="B56" s="1105" t="s">
        <v>86</v>
      </c>
      <c r="C56" s="1103">
        <v>-20.170712358293862</v>
      </c>
      <c r="D56" s="1110"/>
      <c r="E56" s="1110"/>
      <c r="F56" s="1110" t="e">
        <v>#DIV/0!</v>
      </c>
      <c r="G56" s="1110">
        <v>0.774879388801802</v>
      </c>
      <c r="H56" s="1110">
        <v>0.9608021240916713</v>
      </c>
      <c r="I56" s="1110">
        <v>0.8736199955543481</v>
      </c>
      <c r="J56" s="1110">
        <v>0.9688707411310151</v>
      </c>
      <c r="K56" s="1110">
        <v>0.9765865123847406</v>
      </c>
      <c r="L56" s="1110">
        <v>1.0079161756417483</v>
      </c>
      <c r="M56" s="1110">
        <v>1.3440109514031486</v>
      </c>
      <c r="N56" s="1110">
        <v>1.1880569961230552</v>
      </c>
      <c r="O56" s="1110">
        <v>1.0465171007216818</v>
      </c>
      <c r="P56" s="1110">
        <v>1.4236453201970443</v>
      </c>
      <c r="Q56" s="1110">
        <v>1.5228206792126324</v>
      </c>
      <c r="R56" s="1110">
        <v>0.7297062653740414</v>
      </c>
      <c r="S56" s="1110">
        <v>0.8733878915120613</v>
      </c>
      <c r="T56" s="1110">
        <v>0.9213109390337005</v>
      </c>
      <c r="U56" s="1110" t="e">
        <v>#REF!</v>
      </c>
      <c r="V56" s="1110">
        <v>0.6935089542204022</v>
      </c>
      <c r="W56" s="1110">
        <v>0.6625434596502262</v>
      </c>
      <c r="X56" s="1110">
        <v>0.7350943396226415</v>
      </c>
      <c r="Y56" s="1110">
        <v>0.7382378385572635</v>
      </c>
      <c r="Z56" s="1110" t="e">
        <v>#REF!</v>
      </c>
      <c r="AA56" s="1110" t="e">
        <v>#REF!</v>
      </c>
      <c r="AB56" s="1110" t="e">
        <v>#REF!</v>
      </c>
      <c r="AC56" s="1110" t="e">
        <v>#REF!</v>
      </c>
      <c r="AD56" s="1110" t="e">
        <v>#REF!</v>
      </c>
      <c r="AE56" s="1107">
        <v>0.7879689367876405</v>
      </c>
      <c r="AF56" s="1107">
        <v>0.8193688181338483</v>
      </c>
      <c r="AG56" s="1107">
        <v>0.686</v>
      </c>
      <c r="AH56" s="1107">
        <v>0.775</v>
      </c>
      <c r="AI56" s="1107">
        <v>0.743</v>
      </c>
      <c r="AJ56" s="1107">
        <v>0.76</v>
      </c>
      <c r="AK56" s="1107">
        <v>0.732</v>
      </c>
      <c r="AL56" s="1006"/>
      <c r="AM56" s="1110">
        <v>0.8552155137730333</v>
      </c>
      <c r="AN56" s="1110">
        <v>1.0828874153348385</v>
      </c>
      <c r="AO56" s="1103">
        <v>-22.76719015618052</v>
      </c>
      <c r="AP56" s="1144"/>
      <c r="AQ56" s="1006"/>
      <c r="AR56" s="1107">
        <v>1.0500272058916573</v>
      </c>
      <c r="AS56" s="1107">
        <v>1.2562459711288654</v>
      </c>
      <c r="AT56" s="1107">
        <v>0.8475457772694411</v>
      </c>
      <c r="AU56" s="1107">
        <v>0.6981087002518548</v>
      </c>
      <c r="AV56" s="1107">
        <v>0.9546800866631928</v>
      </c>
      <c r="AW56" s="1107">
        <v>0.7497464760166311</v>
      </c>
      <c r="AX56" s="1107">
        <v>0.6673579936234418</v>
      </c>
      <c r="AY56" s="1105">
        <v>0.7010367515119292</v>
      </c>
      <c r="AZ56" s="1105">
        <v>0.7056896786278634</v>
      </c>
      <c r="BA56" s="1105">
        <v>0.73</v>
      </c>
      <c r="BB56" s="957"/>
      <c r="BD56" s="957"/>
      <c r="BE56" s="957"/>
      <c r="BF56" s="957"/>
      <c r="BG56" s="957"/>
    </row>
    <row r="57" spans="1:53" ht="12.75" customHeight="1">
      <c r="A57" s="1010"/>
      <c r="B57" s="1105" t="s">
        <v>215</v>
      </c>
      <c r="C57" s="1103">
        <v>20.170712358293862</v>
      </c>
      <c r="D57" s="1110"/>
      <c r="E57" s="1110"/>
      <c r="F57" s="1110" t="e">
        <v>#DIV/0!</v>
      </c>
      <c r="G57" s="1110">
        <v>0.22512061119819807</v>
      </c>
      <c r="H57" s="1110">
        <v>0.039197875908328676</v>
      </c>
      <c r="I57" s="1110">
        <v>0.1263800044456519</v>
      </c>
      <c r="J57" s="1110">
        <v>0.031129258868984898</v>
      </c>
      <c r="K57" s="1110">
        <v>0.023413487615259448</v>
      </c>
      <c r="L57" s="1110">
        <v>-0.00791617564174822</v>
      </c>
      <c r="M57" s="1110">
        <v>-0.3440109514031485</v>
      </c>
      <c r="N57" s="1110">
        <v>-0.18805699612305524</v>
      </c>
      <c r="O57" s="1110">
        <v>-0.04651710072168183</v>
      </c>
      <c r="P57" s="1110">
        <v>-0.4236453201970443</v>
      </c>
      <c r="Q57" s="1110">
        <v>-0.5228206792126325</v>
      </c>
      <c r="R57" s="1110">
        <v>0.2702937346259586</v>
      </c>
      <c r="S57" s="1110">
        <v>0.12661210848793863</v>
      </c>
      <c r="T57" s="1110">
        <v>0.07868906096629949</v>
      </c>
      <c r="U57" s="1110" t="e">
        <v>#REF!</v>
      </c>
      <c r="V57" s="1110">
        <v>0.30649104577959785</v>
      </c>
      <c r="W57" s="1110">
        <v>0.33745654034977374</v>
      </c>
      <c r="X57" s="1110">
        <v>0.26490566037735847</v>
      </c>
      <c r="Y57" s="1110">
        <v>0.2617621614427364</v>
      </c>
      <c r="Z57" s="1110" t="e">
        <v>#REF!</v>
      </c>
      <c r="AA57" s="1110" t="e">
        <v>#REF!</v>
      </c>
      <c r="AB57" s="1110" t="e">
        <v>#REF!</v>
      </c>
      <c r="AC57" s="1110" t="e">
        <v>#REF!</v>
      </c>
      <c r="AD57" s="1110" t="e">
        <v>#REF!</v>
      </c>
      <c r="AE57" s="1107">
        <v>0.2120310632123596</v>
      </c>
      <c r="AF57" s="1107">
        <v>0.18063118186615174</v>
      </c>
      <c r="AG57" s="1107">
        <v>0.31399999999999995</v>
      </c>
      <c r="AH57" s="1107">
        <v>0.225</v>
      </c>
      <c r="AI57" s="1107">
        <v>0.257</v>
      </c>
      <c r="AJ57" s="1107">
        <v>0.24</v>
      </c>
      <c r="AK57" s="1107">
        <v>0.268</v>
      </c>
      <c r="AL57" s="1006"/>
      <c r="AM57" s="1110">
        <v>0.1447844862269667</v>
      </c>
      <c r="AN57" s="1110">
        <v>-0.0828874153348385</v>
      </c>
      <c r="AO57" s="1103">
        <v>22.767190156180522</v>
      </c>
      <c r="AP57" s="1144"/>
      <c r="AQ57" s="1006"/>
      <c r="AR57" s="1107">
        <v>-0.05002720589165728</v>
      </c>
      <c r="AS57" s="1107">
        <v>-0.25624597112886527</v>
      </c>
      <c r="AT57" s="1107">
        <v>0.15245422273055884</v>
      </c>
      <c r="AU57" s="1107">
        <v>0.3018912997481452</v>
      </c>
      <c r="AV57" s="1107">
        <v>0.045319913336807176</v>
      </c>
      <c r="AW57" s="1107">
        <v>0.2502535239833688</v>
      </c>
      <c r="AX57" s="1107">
        <v>0.33264200637655816</v>
      </c>
      <c r="AY57" s="1105">
        <v>0.2989632484880707</v>
      </c>
      <c r="AZ57" s="1105">
        <v>0.2943103213721366</v>
      </c>
      <c r="BA57" s="1105">
        <v>0.27</v>
      </c>
    </row>
    <row r="58" spans="1:53" ht="12.75" customHeight="1">
      <c r="A58" s="1010"/>
      <c r="B58" s="1105"/>
      <c r="C58" s="1145"/>
      <c r="D58" s="1110"/>
      <c r="E58" s="1110"/>
      <c r="F58" s="1110"/>
      <c r="G58" s="1110"/>
      <c r="H58" s="1110"/>
      <c r="I58" s="1110"/>
      <c r="J58" s="1110"/>
      <c r="K58" s="1110"/>
      <c r="L58" s="1110"/>
      <c r="M58" s="1110"/>
      <c r="N58" s="1110"/>
      <c r="O58" s="1110"/>
      <c r="P58" s="1110"/>
      <c r="Q58" s="1110"/>
      <c r="R58" s="1110"/>
      <c r="S58" s="1110"/>
      <c r="T58" s="1110"/>
      <c r="U58" s="1110"/>
      <c r="V58" s="1110"/>
      <c r="W58" s="1110"/>
      <c r="X58" s="1110"/>
      <c r="Y58" s="1110"/>
      <c r="Z58" s="1110"/>
      <c r="AA58" s="1110"/>
      <c r="AB58" s="1110"/>
      <c r="AC58" s="1110"/>
      <c r="AD58" s="1110"/>
      <c r="AE58" s="1107"/>
      <c r="AF58" s="1107"/>
      <c r="AG58" s="1107"/>
      <c r="AH58" s="1107"/>
      <c r="AI58" s="1107"/>
      <c r="AJ58" s="1107"/>
      <c r="AK58" s="1107"/>
      <c r="AL58" s="1006"/>
      <c r="AM58" s="1110"/>
      <c r="AN58" s="1110"/>
      <c r="AO58" s="1103"/>
      <c r="AP58" s="1144"/>
      <c r="AQ58" s="1006"/>
      <c r="AR58" s="1107"/>
      <c r="AS58" s="1107"/>
      <c r="AT58" s="1107"/>
      <c r="AU58" s="1107"/>
      <c r="AV58" s="1107"/>
      <c r="AW58" s="1107"/>
      <c r="AX58" s="1107"/>
      <c r="AY58" s="1105"/>
      <c r="AZ58" s="1105"/>
      <c r="BA58" s="1105"/>
    </row>
    <row r="59" spans="1:53" ht="12.75" customHeight="1">
      <c r="A59" s="1146" t="s">
        <v>227</v>
      </c>
      <c r="B59" s="1105"/>
      <c r="C59" s="1006"/>
      <c r="D59" s="1006"/>
      <c r="E59" s="1006"/>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1006"/>
      <c r="AB59" s="1006"/>
      <c r="AC59" s="1006"/>
      <c r="AD59" s="1006"/>
      <c r="AE59" s="1006"/>
      <c r="AF59" s="1006"/>
      <c r="AG59" s="966"/>
      <c r="AH59" s="1006"/>
      <c r="AI59" s="966"/>
      <c r="AJ59" s="966"/>
      <c r="AK59" s="1006"/>
      <c r="AL59" s="1006"/>
      <c r="AM59" s="1006"/>
      <c r="AN59" s="1006"/>
      <c r="AO59" s="1112"/>
      <c r="AP59" s="1112"/>
      <c r="AQ59" s="1006"/>
      <c r="AR59" s="1006"/>
      <c r="AS59" s="1006"/>
      <c r="AT59" s="1006"/>
      <c r="AU59" s="1006"/>
      <c r="AV59" s="1006"/>
      <c r="AW59" s="1006"/>
      <c r="AX59" s="1006"/>
      <c r="AY59" s="1050"/>
      <c r="AZ59" s="1105"/>
      <c r="BA59" s="1105"/>
    </row>
    <row r="60" spans="3:54" ht="12.75" customHeight="1">
      <c r="C60" s="1455" t="s">
        <v>497</v>
      </c>
      <c r="D60" s="1456"/>
      <c r="E60" s="1005"/>
      <c r="F60" s="1007"/>
      <c r="G60" s="1007"/>
      <c r="H60" s="1007"/>
      <c r="I60" s="1222"/>
      <c r="J60" s="1007"/>
      <c r="K60" s="1007"/>
      <c r="L60" s="1007"/>
      <c r="M60" s="1222"/>
      <c r="N60" s="1007"/>
      <c r="O60" s="1007"/>
      <c r="P60" s="1007"/>
      <c r="Q60" s="1007"/>
      <c r="R60" s="1118"/>
      <c r="S60" s="1007"/>
      <c r="T60" s="1007"/>
      <c r="U60" s="1007"/>
      <c r="V60" s="1118"/>
      <c r="W60" s="1007"/>
      <c r="X60" s="1007"/>
      <c r="Y60" s="1007"/>
      <c r="Z60" s="1118"/>
      <c r="AA60" s="1007"/>
      <c r="AB60" s="1222"/>
      <c r="AC60" s="1222"/>
      <c r="AD60" s="1222"/>
      <c r="AE60" s="1006"/>
      <c r="AF60" s="1006"/>
      <c r="AG60" s="966"/>
      <c r="AH60" s="1006"/>
      <c r="AI60" s="966"/>
      <c r="AJ60" s="966"/>
      <c r="AK60" s="1006"/>
      <c r="AL60" s="1005"/>
      <c r="AM60" s="725" t="s">
        <v>406</v>
      </c>
      <c r="AN60" s="711"/>
      <c r="AO60" s="711" t="s">
        <v>480</v>
      </c>
      <c r="AP60" s="712"/>
      <c r="AQ60" s="1006"/>
      <c r="AR60" s="973"/>
      <c r="AS60" s="973"/>
      <c r="AT60" s="973"/>
      <c r="AU60" s="973"/>
      <c r="AV60" s="973"/>
      <c r="AW60" s="1118"/>
      <c r="AX60" s="1119"/>
      <c r="AY60" s="973"/>
      <c r="AZ60" s="1105"/>
      <c r="BA60" s="1105"/>
      <c r="BB60" s="976"/>
    </row>
    <row r="61" spans="3:54" ht="12.75" customHeight="1">
      <c r="C61" s="1452" t="s">
        <v>41</v>
      </c>
      <c r="D61" s="1453"/>
      <c r="E61" s="1005"/>
      <c r="F61" s="978"/>
      <c r="G61" s="978" t="s">
        <v>430</v>
      </c>
      <c r="H61" s="978" t="s">
        <v>429</v>
      </c>
      <c r="I61" s="979" t="s">
        <v>427</v>
      </c>
      <c r="J61" s="978" t="s">
        <v>362</v>
      </c>
      <c r="K61" s="978" t="s">
        <v>363</v>
      </c>
      <c r="L61" s="978" t="s">
        <v>364</v>
      </c>
      <c r="M61" s="979" t="s">
        <v>365</v>
      </c>
      <c r="N61" s="978" t="s">
        <v>277</v>
      </c>
      <c r="O61" s="978" t="s">
        <v>278</v>
      </c>
      <c r="P61" s="978" t="s">
        <v>279</v>
      </c>
      <c r="Q61" s="979" t="s">
        <v>276</v>
      </c>
      <c r="R61" s="980" t="s">
        <v>222</v>
      </c>
      <c r="S61" s="978" t="s">
        <v>223</v>
      </c>
      <c r="T61" s="978" t="s">
        <v>224</v>
      </c>
      <c r="U61" s="978" t="s">
        <v>225</v>
      </c>
      <c r="V61" s="980" t="s">
        <v>141</v>
      </c>
      <c r="W61" s="978" t="s">
        <v>140</v>
      </c>
      <c r="X61" s="978" t="s">
        <v>139</v>
      </c>
      <c r="Y61" s="978" t="s">
        <v>138</v>
      </c>
      <c r="Z61" s="980" t="s">
        <v>91</v>
      </c>
      <c r="AA61" s="978" t="s">
        <v>92</v>
      </c>
      <c r="AB61" s="979" t="s">
        <v>93</v>
      </c>
      <c r="AC61" s="979" t="s">
        <v>32</v>
      </c>
      <c r="AD61" s="979" t="s">
        <v>32</v>
      </c>
      <c r="AE61" s="1006"/>
      <c r="AF61" s="1006"/>
      <c r="AG61" s="966"/>
      <c r="AH61" s="1006"/>
      <c r="AI61" s="966"/>
      <c r="AJ61" s="966"/>
      <c r="AK61" s="1006"/>
      <c r="AL61" s="1005"/>
      <c r="AM61" s="21" t="s">
        <v>430</v>
      </c>
      <c r="AN61" s="21" t="s">
        <v>363</v>
      </c>
      <c r="AO61" s="1454" t="s">
        <v>41</v>
      </c>
      <c r="AP61" s="1440"/>
      <c r="AQ61" s="1006"/>
      <c r="AR61" s="980" t="s">
        <v>367</v>
      </c>
      <c r="AS61" s="980" t="s">
        <v>285</v>
      </c>
      <c r="AT61" s="980" t="s">
        <v>143</v>
      </c>
      <c r="AU61" s="980" t="s">
        <v>142</v>
      </c>
      <c r="AV61" s="980" t="s">
        <v>45</v>
      </c>
      <c r="AW61" s="980" t="s">
        <v>42</v>
      </c>
      <c r="AX61" s="982" t="s">
        <v>43</v>
      </c>
      <c r="AY61" s="982" t="s">
        <v>165</v>
      </c>
      <c r="AZ61" s="1105"/>
      <c r="BA61" s="1105"/>
      <c r="BB61" s="976"/>
    </row>
    <row r="62" spans="1:54" ht="12.75" customHeight="1">
      <c r="A62" s="1010"/>
      <c r="B62" s="7" t="s">
        <v>475</v>
      </c>
      <c r="C62" s="1122">
        <v>-877</v>
      </c>
      <c r="D62" s="1123">
        <v>-0.10516848542990766</v>
      </c>
      <c r="E62" s="1005"/>
      <c r="F62" s="1124"/>
      <c r="G62" s="488">
        <v>7462</v>
      </c>
      <c r="H62" s="488">
        <v>7967</v>
      </c>
      <c r="I62" s="762">
        <v>8713</v>
      </c>
      <c r="J62" s="488">
        <v>10030</v>
      </c>
      <c r="K62" s="488">
        <v>8339</v>
      </c>
      <c r="L62" s="488">
        <v>7811</v>
      </c>
      <c r="M62" s="762">
        <v>9378</v>
      </c>
      <c r="N62" s="488">
        <v>4038</v>
      </c>
      <c r="O62" s="488">
        <v>2712</v>
      </c>
      <c r="P62" s="488">
        <v>3186</v>
      </c>
      <c r="Q62" s="488">
        <v>3355</v>
      </c>
      <c r="R62" s="1355">
        <v>4877</v>
      </c>
      <c r="S62" s="488">
        <v>4800</v>
      </c>
      <c r="T62" s="488">
        <v>4288</v>
      </c>
      <c r="U62" s="488">
        <v>6975</v>
      </c>
      <c r="V62" s="1355">
        <v>8215</v>
      </c>
      <c r="W62" s="488">
        <v>9418</v>
      </c>
      <c r="X62" s="488">
        <v>9547</v>
      </c>
      <c r="Y62" s="488">
        <v>8802</v>
      </c>
      <c r="Z62" s="1348">
        <v>7648</v>
      </c>
      <c r="AA62" s="613">
        <v>7035</v>
      </c>
      <c r="AB62" s="1358">
        <v>8214</v>
      </c>
      <c r="AC62" s="762">
        <v>8390</v>
      </c>
      <c r="AD62" s="855">
        <v>29584</v>
      </c>
      <c r="AE62" s="610"/>
      <c r="AF62" s="610"/>
      <c r="AG62" s="488"/>
      <c r="AH62" s="610"/>
      <c r="AI62" s="488"/>
      <c r="AJ62" s="488"/>
      <c r="AK62" s="610"/>
      <c r="AL62" s="662"/>
      <c r="AM62" s="621">
        <v>24142</v>
      </c>
      <c r="AN62" s="621">
        <v>25528</v>
      </c>
      <c r="AO62" s="661">
        <v>-1386</v>
      </c>
      <c r="AP62" s="1132">
        <v>-0.054293324976496395</v>
      </c>
      <c r="AQ62" s="1006"/>
      <c r="AR62" s="662">
        <v>35558</v>
      </c>
      <c r="AS62" s="662">
        <v>13291</v>
      </c>
      <c r="AT62" s="638">
        <v>17589</v>
      </c>
      <c r="AU62" s="763">
        <v>11461</v>
      </c>
      <c r="AV62" s="763">
        <v>10891</v>
      </c>
      <c r="AW62" s="43">
        <v>14557</v>
      </c>
      <c r="AX62" s="1129">
        <v>45773</v>
      </c>
      <c r="AY62" s="1083">
        <v>41570</v>
      </c>
      <c r="AZ62" s="1105"/>
      <c r="BA62" s="1105"/>
      <c r="BB62" s="976"/>
    </row>
    <row r="63" spans="1:54" ht="12.75" customHeight="1">
      <c r="A63" s="1010"/>
      <c r="B63" s="7" t="s">
        <v>70</v>
      </c>
      <c r="C63" s="1122">
        <v>10429</v>
      </c>
      <c r="D63" s="1123">
        <v>0.8390185036202735</v>
      </c>
      <c r="E63" s="1005"/>
      <c r="F63" s="1124"/>
      <c r="G63" s="488">
        <v>22859</v>
      </c>
      <c r="H63" s="488">
        <v>10441</v>
      </c>
      <c r="I63" s="762">
        <v>4658</v>
      </c>
      <c r="J63" s="488">
        <v>7150</v>
      </c>
      <c r="K63" s="488">
        <v>12430</v>
      </c>
      <c r="L63" s="488">
        <v>10921</v>
      </c>
      <c r="M63" s="762">
        <v>2922</v>
      </c>
      <c r="N63" s="488">
        <v>6834</v>
      </c>
      <c r="O63" s="488">
        <v>3072</v>
      </c>
      <c r="P63" s="488">
        <v>750</v>
      </c>
      <c r="Q63" s="488">
        <v>2299</v>
      </c>
      <c r="R63" s="1355">
        <v>16817</v>
      </c>
      <c r="S63" s="488">
        <v>9429</v>
      </c>
      <c r="T63" s="488">
        <v>3477</v>
      </c>
      <c r="U63" s="488">
        <v>31749</v>
      </c>
      <c r="V63" s="1355">
        <v>23306</v>
      </c>
      <c r="W63" s="488">
        <v>46294</v>
      </c>
      <c r="X63" s="488">
        <v>16811</v>
      </c>
      <c r="Y63" s="488">
        <v>19402</v>
      </c>
      <c r="Z63" s="1348">
        <v>15250</v>
      </c>
      <c r="AA63" s="488">
        <v>4569</v>
      </c>
      <c r="AB63" s="762">
        <v>12638</v>
      </c>
      <c r="AC63" s="762">
        <v>17564</v>
      </c>
      <c r="AD63" s="855">
        <v>0</v>
      </c>
      <c r="AE63" s="610">
        <v>0</v>
      </c>
      <c r="AF63" s="610">
        <v>0</v>
      </c>
      <c r="AG63" s="488">
        <v>0</v>
      </c>
      <c r="AH63" s="610">
        <v>0</v>
      </c>
      <c r="AI63" s="488">
        <v>0</v>
      </c>
      <c r="AJ63" s="488">
        <v>0</v>
      </c>
      <c r="AK63" s="610">
        <v>0</v>
      </c>
      <c r="AL63" s="662"/>
      <c r="AM63" s="621">
        <v>37958</v>
      </c>
      <c r="AN63" s="621">
        <v>26273</v>
      </c>
      <c r="AO63" s="661">
        <v>11685</v>
      </c>
      <c r="AP63" s="1014">
        <v>0.4447531686522285</v>
      </c>
      <c r="AQ63" s="1006"/>
      <c r="AR63" s="662">
        <v>33423</v>
      </c>
      <c r="AS63" s="662">
        <v>12955</v>
      </c>
      <c r="AT63" s="639">
        <v>34572</v>
      </c>
      <c r="AU63" s="763">
        <v>35794</v>
      </c>
      <c r="AV63" s="763">
        <v>26736</v>
      </c>
      <c r="AW63" s="43">
        <v>80789</v>
      </c>
      <c r="AX63" s="1133">
        <v>128763</v>
      </c>
      <c r="AY63" s="1039">
        <v>99263</v>
      </c>
      <c r="AZ63" s="1105"/>
      <c r="BA63" s="1105"/>
      <c r="BB63" s="976"/>
    </row>
    <row r="64" spans="1:54" ht="12.75" customHeight="1">
      <c r="A64" s="1010"/>
      <c r="B64" s="7" t="s">
        <v>255</v>
      </c>
      <c r="C64" s="1122">
        <v>11111</v>
      </c>
      <c r="D64" s="1224">
        <v>0.6537805236834363</v>
      </c>
      <c r="E64" s="1005"/>
      <c r="F64" s="1124"/>
      <c r="G64" s="488">
        <v>28106</v>
      </c>
      <c r="H64" s="488">
        <v>16884</v>
      </c>
      <c r="I64" s="762">
        <v>21653</v>
      </c>
      <c r="J64" s="488">
        <v>19658</v>
      </c>
      <c r="K64" s="488">
        <v>16995</v>
      </c>
      <c r="L64" s="488">
        <v>13802</v>
      </c>
      <c r="M64" s="762">
        <v>14616</v>
      </c>
      <c r="N64" s="488">
        <v>5533</v>
      </c>
      <c r="O64" s="488">
        <v>4356</v>
      </c>
      <c r="P64" s="488">
        <v>3235</v>
      </c>
      <c r="Q64" s="488">
        <v>1470</v>
      </c>
      <c r="R64" s="1355">
        <v>2671</v>
      </c>
      <c r="S64" s="488">
        <v>2437</v>
      </c>
      <c r="T64" s="488">
        <v>4055</v>
      </c>
      <c r="U64" s="488">
        <v>14504</v>
      </c>
      <c r="V64" s="1355">
        <v>1297</v>
      </c>
      <c r="W64" s="488">
        <v>1601</v>
      </c>
      <c r="X64" s="488">
        <v>1211</v>
      </c>
      <c r="Y64" s="488">
        <v>1444</v>
      </c>
      <c r="Z64" s="1348">
        <v>2473</v>
      </c>
      <c r="AA64" s="488">
        <v>1215</v>
      </c>
      <c r="AB64" s="762">
        <v>2659</v>
      </c>
      <c r="AC64" s="762">
        <v>8562</v>
      </c>
      <c r="AD64" s="855"/>
      <c r="AE64" s="610"/>
      <c r="AF64" s="610"/>
      <c r="AG64" s="488"/>
      <c r="AH64" s="610"/>
      <c r="AI64" s="488"/>
      <c r="AJ64" s="488"/>
      <c r="AK64" s="610"/>
      <c r="AL64" s="662"/>
      <c r="AM64" s="621">
        <v>66643</v>
      </c>
      <c r="AN64" s="621">
        <v>45413</v>
      </c>
      <c r="AO64" s="655">
        <v>21230</v>
      </c>
      <c r="AP64" s="1014">
        <v>0.46748728337700657</v>
      </c>
      <c r="AQ64" s="1006"/>
      <c r="AR64" s="662">
        <v>65071</v>
      </c>
      <c r="AS64" s="662">
        <v>14594</v>
      </c>
      <c r="AT64" s="639">
        <v>12248</v>
      </c>
      <c r="AU64" s="763">
        <v>11757</v>
      </c>
      <c r="AV64" s="763">
        <v>21373</v>
      </c>
      <c r="AW64" s="43">
        <v>11914</v>
      </c>
      <c r="AX64" s="1153">
        <v>12713</v>
      </c>
      <c r="AY64" s="1039">
        <v>4636</v>
      </c>
      <c r="AZ64" s="1105"/>
      <c r="BA64" s="1105"/>
      <c r="BB64" s="976"/>
    </row>
    <row r="65" spans="1:54" ht="12.75" customHeight="1">
      <c r="A65" s="1010"/>
      <c r="B65" s="7" t="s">
        <v>71</v>
      </c>
      <c r="C65" s="1122">
        <v>928</v>
      </c>
      <c r="D65" s="1123">
        <v>0.13923480870217556</v>
      </c>
      <c r="E65" s="1005"/>
      <c r="F65" s="1124"/>
      <c r="G65" s="488">
        <v>7593</v>
      </c>
      <c r="H65" s="488">
        <v>7939</v>
      </c>
      <c r="I65" s="762">
        <v>5338</v>
      </c>
      <c r="J65" s="488">
        <v>8936</v>
      </c>
      <c r="K65" s="488">
        <v>6665</v>
      </c>
      <c r="L65" s="488">
        <v>6462</v>
      </c>
      <c r="M65" s="762">
        <v>2443</v>
      </c>
      <c r="N65" s="488">
        <v>3447</v>
      </c>
      <c r="O65" s="488">
        <v>2591</v>
      </c>
      <c r="P65" s="488">
        <v>2232</v>
      </c>
      <c r="Q65" s="488">
        <v>2173</v>
      </c>
      <c r="R65" s="1355">
        <v>10213</v>
      </c>
      <c r="S65" s="488">
        <v>6662</v>
      </c>
      <c r="T65" s="488">
        <v>6583</v>
      </c>
      <c r="U65" s="488">
        <v>-262</v>
      </c>
      <c r="V65" s="1355">
        <v>-115</v>
      </c>
      <c r="W65" s="488">
        <v>-132</v>
      </c>
      <c r="X65" s="488">
        <v>-255</v>
      </c>
      <c r="Y65" s="488">
        <v>-45</v>
      </c>
      <c r="Z65" s="1348">
        <v>-388</v>
      </c>
      <c r="AA65" s="488">
        <v>-274</v>
      </c>
      <c r="AB65" s="762">
        <v>-218</v>
      </c>
      <c r="AC65" s="762">
        <v>-343</v>
      </c>
      <c r="AD65" s="855">
        <v>5363</v>
      </c>
      <c r="AE65" s="610"/>
      <c r="AF65" s="610"/>
      <c r="AG65" s="488"/>
      <c r="AH65" s="610"/>
      <c r="AI65" s="488"/>
      <c r="AJ65" s="488"/>
      <c r="AK65" s="610"/>
      <c r="AL65" s="662"/>
      <c r="AM65" s="621">
        <v>20870</v>
      </c>
      <c r="AN65" s="621">
        <v>15570</v>
      </c>
      <c r="AO65" s="655">
        <v>5300</v>
      </c>
      <c r="AP65" s="1014">
        <v>0.340398201669878</v>
      </c>
      <c r="AQ65" s="1006"/>
      <c r="AR65" s="662">
        <v>24506</v>
      </c>
      <c r="AS65" s="662">
        <v>10443</v>
      </c>
      <c r="AT65" s="639">
        <v>28332</v>
      </c>
      <c r="AU65" s="763">
        <v>23190</v>
      </c>
      <c r="AV65" s="763">
        <v>9476</v>
      </c>
      <c r="AW65" s="43">
        <v>4419</v>
      </c>
      <c r="AX65" s="1133">
        <v>-524</v>
      </c>
      <c r="AY65" s="1039">
        <v>4647</v>
      </c>
      <c r="AZ65" s="1105"/>
      <c r="BA65" s="1105"/>
      <c r="BB65" s="976"/>
    </row>
    <row r="66" spans="1:54" ht="12.75" customHeight="1">
      <c r="A66" s="1010"/>
      <c r="B66" s="7" t="s">
        <v>72</v>
      </c>
      <c r="C66" s="1122">
        <v>-104</v>
      </c>
      <c r="D66" s="1123">
        <v>-0.9811320754716981</v>
      </c>
      <c r="E66" s="1005"/>
      <c r="F66" s="1124"/>
      <c r="G66" s="488">
        <v>2</v>
      </c>
      <c r="H66" s="488">
        <v>-25</v>
      </c>
      <c r="I66" s="762">
        <v>7</v>
      </c>
      <c r="J66" s="488">
        <v>19</v>
      </c>
      <c r="K66" s="488">
        <v>106</v>
      </c>
      <c r="L66" s="488">
        <v>43</v>
      </c>
      <c r="M66" s="762">
        <v>59</v>
      </c>
      <c r="N66" s="488">
        <v>15</v>
      </c>
      <c r="O66" s="488">
        <v>0</v>
      </c>
      <c r="P66" s="488">
        <v>3</v>
      </c>
      <c r="Q66" s="488">
        <v>2</v>
      </c>
      <c r="R66" s="1355">
        <v>15</v>
      </c>
      <c r="S66" s="488">
        <v>3</v>
      </c>
      <c r="T66" s="488">
        <v>4</v>
      </c>
      <c r="U66" s="488">
        <v>46</v>
      </c>
      <c r="V66" s="1355">
        <v>102</v>
      </c>
      <c r="W66" s="488">
        <v>0</v>
      </c>
      <c r="X66" s="488">
        <v>0</v>
      </c>
      <c r="Y66" s="488">
        <v>37</v>
      </c>
      <c r="Z66" s="1348">
        <v>50</v>
      </c>
      <c r="AA66" s="488">
        <v>93</v>
      </c>
      <c r="AB66" s="762">
        <v>168</v>
      </c>
      <c r="AC66" s="762">
        <v>178</v>
      </c>
      <c r="AD66" s="855">
        <v>-3063</v>
      </c>
      <c r="AE66" s="610">
        <v>42952</v>
      </c>
      <c r="AF66" s="610">
        <v>39210</v>
      </c>
      <c r="AG66" s="488">
        <v>62549</v>
      </c>
      <c r="AH66" s="610">
        <v>57382</v>
      </c>
      <c r="AI66" s="488">
        <v>48897</v>
      </c>
      <c r="AJ66" s="488">
        <v>38533</v>
      </c>
      <c r="AK66" s="610">
        <v>42750</v>
      </c>
      <c r="AL66" s="662"/>
      <c r="AM66" s="621">
        <v>-16</v>
      </c>
      <c r="AN66" s="621">
        <v>208</v>
      </c>
      <c r="AO66" s="655">
        <v>-224</v>
      </c>
      <c r="AP66" s="1014">
        <v>-1.0769230769230769</v>
      </c>
      <c r="AQ66" s="1006"/>
      <c r="AR66" s="662">
        <v>227</v>
      </c>
      <c r="AS66" s="662">
        <v>20</v>
      </c>
      <c r="AT66" s="639">
        <v>25</v>
      </c>
      <c r="AU66" s="763">
        <v>94</v>
      </c>
      <c r="AV66" s="763">
        <v>2226</v>
      </c>
      <c r="AW66" s="43">
        <v>3339</v>
      </c>
      <c r="AX66" s="1133">
        <v>543</v>
      </c>
      <c r="AY66" s="1039">
        <v>236</v>
      </c>
      <c r="AZ66" s="1105"/>
      <c r="BA66" s="1105"/>
      <c r="BB66" s="976"/>
    </row>
    <row r="67" spans="1:54" ht="12.75" customHeight="1">
      <c r="A67" s="1116"/>
      <c r="B67" s="7" t="s">
        <v>73</v>
      </c>
      <c r="C67" s="1122">
        <v>-28</v>
      </c>
      <c r="D67" s="1224">
        <v>0.0975609756097561</v>
      </c>
      <c r="E67" s="1156"/>
      <c r="F67" s="1124"/>
      <c r="G67" s="1339">
        <v>-315</v>
      </c>
      <c r="H67" s="1339">
        <v>-270</v>
      </c>
      <c r="I67" s="860">
        <v>120</v>
      </c>
      <c r="J67" s="488">
        <v>-241</v>
      </c>
      <c r="K67" s="488">
        <v>-287</v>
      </c>
      <c r="L67" s="1339">
        <v>-5</v>
      </c>
      <c r="M67" s="860">
        <v>-198</v>
      </c>
      <c r="N67" s="488">
        <v>-6</v>
      </c>
      <c r="O67" s="488">
        <v>17</v>
      </c>
      <c r="P67" s="1339">
        <v>-68</v>
      </c>
      <c r="Q67" s="1339">
        <v>-53</v>
      </c>
      <c r="R67" s="1355">
        <v>-38</v>
      </c>
      <c r="S67" s="488">
        <v>8</v>
      </c>
      <c r="T67" s="1339">
        <v>-69</v>
      </c>
      <c r="U67" s="1339">
        <v>45</v>
      </c>
      <c r="V67" s="1355">
        <v>1</v>
      </c>
      <c r="W67" s="488">
        <v>0</v>
      </c>
      <c r="X67" s="1339">
        <v>0</v>
      </c>
      <c r="Y67" s="1339">
        <v>414</v>
      </c>
      <c r="Z67" s="1348">
        <v>0</v>
      </c>
      <c r="AA67" s="1339">
        <v>1</v>
      </c>
      <c r="AB67" s="860">
        <v>0</v>
      </c>
      <c r="AC67" s="860">
        <v>1</v>
      </c>
      <c r="AD67" s="1327">
        <v>60</v>
      </c>
      <c r="AE67" s="1359"/>
      <c r="AF67" s="1359"/>
      <c r="AG67" s="1359"/>
      <c r="AH67" s="1359"/>
      <c r="AI67" s="1359"/>
      <c r="AJ67" s="1359"/>
      <c r="AK67" s="1359"/>
      <c r="AL67" s="662"/>
      <c r="AM67" s="621">
        <v>-465</v>
      </c>
      <c r="AN67" s="621">
        <v>-490</v>
      </c>
      <c r="AO67" s="655">
        <v>25</v>
      </c>
      <c r="AP67" s="1132">
        <v>0.05102040816326531</v>
      </c>
      <c r="AQ67" s="1010"/>
      <c r="AR67" s="662">
        <v>-731</v>
      </c>
      <c r="AS67" s="662">
        <v>-110</v>
      </c>
      <c r="AT67" s="640">
        <v>-89</v>
      </c>
      <c r="AU67" s="763">
        <v>158</v>
      </c>
      <c r="AV67" s="763">
        <v>2224</v>
      </c>
      <c r="AW67" s="43">
        <v>3314</v>
      </c>
      <c r="AX67" s="1135">
        <v>294</v>
      </c>
      <c r="AY67" s="1136">
        <v>118</v>
      </c>
      <c r="AZ67" s="1105"/>
      <c r="BA67" s="1105"/>
      <c r="BB67" s="976"/>
    </row>
    <row r="68" spans="1:53" ht="12.75" customHeight="1">
      <c r="A68" s="1116"/>
      <c r="B68" s="7"/>
      <c r="C68" s="1161">
        <v>21459</v>
      </c>
      <c r="D68" s="1162">
        <v>0.4849710721388537</v>
      </c>
      <c r="E68" s="971"/>
      <c r="F68" s="1163">
        <v>0</v>
      </c>
      <c r="G68" s="583">
        <v>65707</v>
      </c>
      <c r="H68" s="583">
        <v>42936</v>
      </c>
      <c r="I68" s="1360">
        <v>40489</v>
      </c>
      <c r="J68" s="583">
        <v>45552</v>
      </c>
      <c r="K68" s="583">
        <v>44248</v>
      </c>
      <c r="L68" s="583">
        <v>39034</v>
      </c>
      <c r="M68" s="1360">
        <v>29220</v>
      </c>
      <c r="N68" s="583">
        <v>19861</v>
      </c>
      <c r="O68" s="583">
        <v>12748</v>
      </c>
      <c r="P68" s="583">
        <v>9338</v>
      </c>
      <c r="Q68" s="583">
        <v>9246</v>
      </c>
      <c r="R68" s="737">
        <v>34555</v>
      </c>
      <c r="S68" s="583">
        <v>23339</v>
      </c>
      <c r="T68" s="583">
        <v>18338</v>
      </c>
      <c r="U68" s="583">
        <v>53057</v>
      </c>
      <c r="V68" s="737">
        <v>32806</v>
      </c>
      <c r="W68" s="583">
        <v>57181</v>
      </c>
      <c r="X68" s="583">
        <v>27314</v>
      </c>
      <c r="Y68" s="583">
        <v>30054</v>
      </c>
      <c r="Z68" s="737">
        <v>25033</v>
      </c>
      <c r="AA68" s="583">
        <v>12639</v>
      </c>
      <c r="AB68" s="1360">
        <v>23461</v>
      </c>
      <c r="AC68" s="1360">
        <v>34352</v>
      </c>
      <c r="AD68" s="1360">
        <v>31944</v>
      </c>
      <c r="AE68" s="1361"/>
      <c r="AF68" s="1361"/>
      <c r="AG68" s="1361"/>
      <c r="AH68" s="1361"/>
      <c r="AI68" s="1361"/>
      <c r="AJ68" s="1361"/>
      <c r="AK68" s="1361"/>
      <c r="AL68" s="1362"/>
      <c r="AM68" s="737">
        <v>149132</v>
      </c>
      <c r="AN68" s="583">
        <v>112502</v>
      </c>
      <c r="AO68" s="657">
        <v>36630</v>
      </c>
      <c r="AP68" s="1167">
        <v>0.3255942116584594</v>
      </c>
      <c r="AR68" s="584">
        <v>158054</v>
      </c>
      <c r="AS68" s="584">
        <v>51193</v>
      </c>
      <c r="AT68" s="584">
        <v>92677</v>
      </c>
      <c r="AU68" s="584">
        <v>82454</v>
      </c>
      <c r="AV68" s="1360">
        <v>72926</v>
      </c>
      <c r="AW68" s="1169">
        <v>118332</v>
      </c>
      <c r="AX68" s="1169">
        <v>187562</v>
      </c>
      <c r="AY68" s="1169">
        <v>150470</v>
      </c>
      <c r="AZ68" s="1105"/>
      <c r="BA68" s="1105"/>
    </row>
    <row r="69" spans="1:53" ht="12.75" customHeight="1">
      <c r="A69" s="1116"/>
      <c r="B69" s="7"/>
      <c r="C69" s="1137"/>
      <c r="D69" s="1170"/>
      <c r="E69" s="971"/>
      <c r="F69" s="1171"/>
      <c r="G69" s="610"/>
      <c r="H69" s="610"/>
      <c r="I69" s="1327"/>
      <c r="J69" s="610"/>
      <c r="K69" s="609"/>
      <c r="L69" s="610"/>
      <c r="M69" s="855"/>
      <c r="N69" s="610"/>
      <c r="O69" s="609"/>
      <c r="P69" s="610"/>
      <c r="Q69" s="610"/>
      <c r="R69" s="1348"/>
      <c r="S69" s="611"/>
      <c r="T69" s="611"/>
      <c r="U69" s="611"/>
      <c r="V69" s="716"/>
      <c r="W69" s="611"/>
      <c r="X69" s="611"/>
      <c r="Y69" s="611"/>
      <c r="Z69" s="610"/>
      <c r="AA69" s="610"/>
      <c r="AB69" s="610"/>
      <c r="AC69" s="610"/>
      <c r="AD69" s="610"/>
      <c r="AE69" s="1361"/>
      <c r="AF69" s="1361"/>
      <c r="AG69" s="1361"/>
      <c r="AH69" s="1361"/>
      <c r="AI69" s="1361"/>
      <c r="AJ69" s="1361"/>
      <c r="AK69" s="1361"/>
      <c r="AL69" s="1362"/>
      <c r="AM69" s="716"/>
      <c r="AN69" s="611"/>
      <c r="AO69" s="656"/>
      <c r="AP69" s="1175"/>
      <c r="AR69" s="1176"/>
      <c r="AS69" s="1176"/>
      <c r="AT69" s="1176"/>
      <c r="AU69" s="1176"/>
      <c r="AV69" s="1177"/>
      <c r="AW69" s="1176"/>
      <c r="AX69" s="1177"/>
      <c r="AY69" s="1020"/>
      <c r="AZ69" s="1105"/>
      <c r="BA69" s="1105"/>
    </row>
    <row r="70" spans="1:53" ht="13.5" customHeight="1">
      <c r="A70" s="193"/>
      <c r="B70" s="7" t="s">
        <v>476</v>
      </c>
      <c r="C70" s="154">
        <v>190</v>
      </c>
      <c r="D70" s="552" t="s">
        <v>44</v>
      </c>
      <c r="E70" s="24"/>
      <c r="F70" s="843"/>
      <c r="G70" s="1363">
        <v>-802</v>
      </c>
      <c r="H70" s="1363">
        <v>0</v>
      </c>
      <c r="I70" s="1327">
        <v>0</v>
      </c>
      <c r="J70" s="1364">
        <v>-276</v>
      </c>
      <c r="K70" s="1363">
        <v>-520</v>
      </c>
      <c r="L70" s="1363">
        <v>0</v>
      </c>
      <c r="M70" s="1360">
        <v>-190</v>
      </c>
      <c r="N70" s="1364">
        <v>0</v>
      </c>
      <c r="O70" s="1363">
        <v>0</v>
      </c>
      <c r="P70" s="1363">
        <v>0</v>
      </c>
      <c r="Q70" s="1365">
        <v>0</v>
      </c>
      <c r="R70" s="1364">
        <v>0</v>
      </c>
      <c r="S70" s="719">
        <v>0</v>
      </c>
      <c r="T70" s="719">
        <v>0</v>
      </c>
      <c r="U70" s="1366">
        <v>0</v>
      </c>
      <c r="V70" s="1367" t="s">
        <v>214</v>
      </c>
      <c r="W70" s="1368" t="s">
        <v>214</v>
      </c>
      <c r="X70" s="1368" t="s">
        <v>214</v>
      </c>
      <c r="Y70" s="1368" t="s">
        <v>214</v>
      </c>
      <c r="Z70" s="1369"/>
      <c r="AA70" s="1369"/>
      <c r="AB70" s="1369"/>
      <c r="AC70" s="1369"/>
      <c r="AD70" s="1369"/>
      <c r="AE70" s="1370"/>
      <c r="AF70" s="1370"/>
      <c r="AG70" s="1370"/>
      <c r="AH70" s="1370"/>
      <c r="AI70" s="1370"/>
      <c r="AJ70" s="1370"/>
      <c r="AK70" s="1370"/>
      <c r="AL70" s="1371"/>
      <c r="AM70" s="716">
        <v>-802</v>
      </c>
      <c r="AN70" s="1345">
        <v>-710</v>
      </c>
      <c r="AO70" s="719">
        <v>-986</v>
      </c>
      <c r="AP70" s="552">
        <v>1.388732394366197</v>
      </c>
      <c r="AQ70" s="98"/>
      <c r="AR70" s="845">
        <v>-986</v>
      </c>
      <c r="AS70" s="845">
        <v>0</v>
      </c>
      <c r="AT70" s="845">
        <v>0</v>
      </c>
      <c r="AU70" s="708" t="s">
        <v>214</v>
      </c>
      <c r="AV70" s="709" t="s">
        <v>214</v>
      </c>
      <c r="AW70" s="708" t="s">
        <v>214</v>
      </c>
      <c r="AX70" s="708" t="s">
        <v>214</v>
      </c>
      <c r="AY70" s="213"/>
      <c r="AZ70" s="145"/>
      <c r="BA70" s="145"/>
    </row>
    <row r="71" spans="6:54" ht="12.75">
      <c r="F71" s="958"/>
      <c r="G71" s="958"/>
      <c r="H71" s="958"/>
      <c r="I71" s="958"/>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1199"/>
      <c r="AP71" s="1199"/>
      <c r="AQ71" s="958"/>
      <c r="AR71" s="958"/>
      <c r="AS71" s="958"/>
      <c r="AT71" s="958"/>
      <c r="AU71" s="958"/>
      <c r="AV71" s="958"/>
      <c r="AW71" s="958"/>
      <c r="AX71" s="958"/>
      <c r="AY71" s="958"/>
      <c r="AZ71" s="958">
        <v>0</v>
      </c>
      <c r="BA71" s="958">
        <v>0</v>
      </c>
      <c r="BB71" s="958">
        <v>0</v>
      </c>
    </row>
    <row r="72" spans="7:51" ht="12.75">
      <c r="G72" s="958"/>
      <c r="H72" s="958"/>
      <c r="I72" s="958"/>
      <c r="L72" s="958"/>
      <c r="M72" s="958"/>
      <c r="P72" s="958"/>
      <c r="Q72" s="958"/>
      <c r="U72" s="958"/>
      <c r="Y72" s="958"/>
      <c r="Z72" s="958"/>
      <c r="AA72" s="958"/>
      <c r="AB72" s="958"/>
      <c r="AC72" s="958"/>
      <c r="AD72" s="958"/>
      <c r="AE72" s="958"/>
      <c r="AF72" s="958"/>
      <c r="AG72" s="958"/>
      <c r="AH72" s="958"/>
      <c r="AI72" s="958"/>
      <c r="AJ72" s="958"/>
      <c r="AK72" s="958"/>
      <c r="AL72" s="958"/>
      <c r="AM72" s="958"/>
      <c r="AN72" s="958"/>
      <c r="AO72" s="1199"/>
      <c r="AP72" s="1199"/>
      <c r="AQ72" s="958"/>
      <c r="AR72" s="958"/>
      <c r="AS72" s="958"/>
      <c r="AT72" s="958"/>
      <c r="AU72" s="958"/>
      <c r="AV72" s="958"/>
      <c r="AW72" s="958"/>
      <c r="AX72" s="1200"/>
      <c r="AY72" s="1200"/>
    </row>
    <row r="73" spans="6:51" ht="12.75">
      <c r="F73" s="958"/>
      <c r="G73" s="958"/>
      <c r="H73" s="958"/>
      <c r="I73" s="958"/>
      <c r="J73" s="958"/>
      <c r="K73" s="958"/>
      <c r="L73" s="958"/>
      <c r="M73" s="958"/>
      <c r="N73" s="958"/>
      <c r="O73" s="958"/>
      <c r="P73" s="958"/>
      <c r="Q73" s="958"/>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1199"/>
      <c r="AP73" s="1199"/>
      <c r="AQ73" s="958"/>
      <c r="AR73" s="958"/>
      <c r="AS73" s="958"/>
      <c r="AT73" s="958"/>
      <c r="AU73" s="958"/>
      <c r="AV73" s="958"/>
      <c r="AW73" s="958"/>
      <c r="AX73" s="958"/>
      <c r="AY73" s="958"/>
    </row>
    <row r="74" spans="29:50" ht="12.75">
      <c r="AC74" s="1205"/>
      <c r="AD74" s="1205"/>
      <c r="AE74" s="1205"/>
      <c r="AF74" s="1205"/>
      <c r="AG74" s="1205"/>
      <c r="AH74" s="1209"/>
      <c r="AI74" s="1205"/>
      <c r="AJ74" s="1205"/>
      <c r="AK74" s="1205"/>
      <c r="AL74" s="957"/>
      <c r="AM74" s="957"/>
      <c r="AN74" s="957"/>
      <c r="AW74" s="1110"/>
      <c r="AX74" s="1110"/>
    </row>
    <row r="75" spans="29:50" ht="12.75">
      <c r="AC75" s="1110"/>
      <c r="AD75" s="1210"/>
      <c r="AE75" s="1107"/>
      <c r="AF75" s="1107"/>
      <c r="AG75" s="1107"/>
      <c r="AH75" s="1210"/>
      <c r="AI75" s="1107"/>
      <c r="AJ75" s="1107"/>
      <c r="AK75" s="1100"/>
      <c r="AL75" s="957"/>
      <c r="AM75" s="957"/>
      <c r="AN75" s="957"/>
      <c r="AW75" s="1107"/>
      <c r="AX75" s="1107"/>
    </row>
    <row r="76" spans="29:50" ht="12.75">
      <c r="AC76" s="1110"/>
      <c r="AD76" s="1107"/>
      <c r="AE76" s="1107"/>
      <c r="AF76" s="1107"/>
      <c r="AG76" s="1107"/>
      <c r="AH76" s="1107"/>
      <c r="AI76" s="1107"/>
      <c r="AJ76" s="1107"/>
      <c r="AK76" s="1100"/>
      <c r="AL76" s="957"/>
      <c r="AM76" s="957"/>
      <c r="AN76" s="957"/>
      <c r="AW76" s="1107"/>
      <c r="AX76" s="1107"/>
    </row>
    <row r="77" spans="29:50" ht="12.75">
      <c r="AC77" s="1110"/>
      <c r="AD77" s="1107"/>
      <c r="AE77" s="1107"/>
      <c r="AF77" s="1107"/>
      <c r="AG77" s="1107"/>
      <c r="AH77" s="1107"/>
      <c r="AI77" s="1107"/>
      <c r="AJ77" s="1107"/>
      <c r="AK77" s="1100"/>
      <c r="AL77" s="957"/>
      <c r="AM77" s="957"/>
      <c r="AN77" s="957"/>
      <c r="AW77" s="1107"/>
      <c r="AX77" s="1107"/>
    </row>
    <row r="78" spans="29:50" ht="12.75">
      <c r="AC78" s="1107"/>
      <c r="AD78" s="1107"/>
      <c r="AE78" s="1107"/>
      <c r="AF78" s="1107"/>
      <c r="AG78" s="1107"/>
      <c r="AH78" s="1107"/>
      <c r="AI78" s="1107"/>
      <c r="AJ78" s="1107"/>
      <c r="AK78" s="1107"/>
      <c r="AL78" s="957"/>
      <c r="AM78" s="957"/>
      <c r="AN78" s="957"/>
      <c r="AW78" s="1211"/>
      <c r="AX78" s="1211"/>
    </row>
    <row r="79" spans="29:50" ht="12.75">
      <c r="AC79" s="1211"/>
      <c r="AD79" s="1211"/>
      <c r="AE79" s="1211"/>
      <c r="AF79" s="1211"/>
      <c r="AG79" s="1211"/>
      <c r="AH79" s="1211"/>
      <c r="AI79" s="1211"/>
      <c r="AJ79" s="1211"/>
      <c r="AK79" s="1211"/>
      <c r="AL79" s="957"/>
      <c r="AM79" s="957"/>
      <c r="AN79" s="957"/>
      <c r="AW79" s="1211"/>
      <c r="AX79" s="1211"/>
    </row>
    <row r="80" spans="29:50" ht="12.75">
      <c r="AC80" s="1211"/>
      <c r="AD80" s="1211"/>
      <c r="AE80" s="1211"/>
      <c r="AF80" s="1211"/>
      <c r="AG80" s="1211"/>
      <c r="AH80" s="1211"/>
      <c r="AI80" s="1211"/>
      <c r="AJ80" s="1211"/>
      <c r="AK80" s="1211"/>
      <c r="AL80" s="957"/>
      <c r="AM80" s="957"/>
      <c r="AN80" s="957"/>
      <c r="AW80" s="957"/>
      <c r="AX80" s="957"/>
    </row>
    <row r="81" spans="29:50" ht="12.75">
      <c r="AC81" s="957"/>
      <c r="AD81" s="957"/>
      <c r="AE81" s="957"/>
      <c r="AF81" s="957"/>
      <c r="AG81" s="957"/>
      <c r="AH81" s="957"/>
      <c r="AI81" s="957"/>
      <c r="AJ81" s="957"/>
      <c r="AK81" s="957"/>
      <c r="AL81" s="957"/>
      <c r="AM81" s="957"/>
      <c r="AN81" s="957"/>
      <c r="AW81" s="957"/>
      <c r="AX81" s="957"/>
    </row>
    <row r="82" spans="29:50" ht="12.75">
      <c r="AC82" s="957"/>
      <c r="AD82" s="957"/>
      <c r="AE82" s="957"/>
      <c r="AF82" s="957"/>
      <c r="AG82" s="957"/>
      <c r="AH82" s="957"/>
      <c r="AI82" s="957"/>
      <c r="AJ82" s="957"/>
      <c r="AK82" s="957"/>
      <c r="AL82" s="957"/>
      <c r="AM82" s="957"/>
      <c r="AN82" s="957"/>
      <c r="AW82" s="957"/>
      <c r="AX82" s="957"/>
    </row>
    <row r="83" spans="29:50" ht="12.75">
      <c r="AC83" s="957"/>
      <c r="AD83" s="957"/>
      <c r="AE83" s="957"/>
      <c r="AF83" s="957"/>
      <c r="AG83" s="957"/>
      <c r="AH83" s="957"/>
      <c r="AI83" s="957"/>
      <c r="AJ83" s="957"/>
      <c r="AK83" s="957"/>
      <c r="AL83" s="957"/>
      <c r="AM83" s="957"/>
      <c r="AN83" s="957"/>
      <c r="AW83" s="957"/>
      <c r="AX83" s="957"/>
    </row>
    <row r="84" spans="29:50" ht="12.75">
      <c r="AC84" s="957"/>
      <c r="AD84" s="957"/>
      <c r="AE84" s="957"/>
      <c r="AF84" s="957"/>
      <c r="AG84" s="957"/>
      <c r="AH84" s="957"/>
      <c r="AI84" s="957"/>
      <c r="AJ84" s="957"/>
      <c r="AK84" s="957"/>
      <c r="AL84" s="957"/>
      <c r="AM84" s="957"/>
      <c r="AN84" s="957"/>
      <c r="AW84" s="957"/>
      <c r="AX84" s="957"/>
    </row>
    <row r="85" spans="29:40" ht="12.75">
      <c r="AC85" s="957"/>
      <c r="AD85" s="957"/>
      <c r="AE85" s="957"/>
      <c r="AF85" s="957"/>
      <c r="AG85" s="957"/>
      <c r="AH85" s="957"/>
      <c r="AI85" s="957"/>
      <c r="AJ85" s="957"/>
      <c r="AK85" s="957"/>
      <c r="AL85" s="957"/>
      <c r="AM85" s="957"/>
      <c r="AN85" s="957"/>
    </row>
  </sheetData>
  <sheetProtection/>
  <mergeCells count="11">
    <mergeCell ref="C10:D10"/>
    <mergeCell ref="C11:D11"/>
    <mergeCell ref="AO11:AP11"/>
    <mergeCell ref="A32:B32"/>
    <mergeCell ref="C48:D48"/>
    <mergeCell ref="C49:D49"/>
    <mergeCell ref="AO49:AP49"/>
    <mergeCell ref="C60:D60"/>
    <mergeCell ref="C61:D61"/>
    <mergeCell ref="AO61:AP61"/>
    <mergeCell ref="A34:B34"/>
  </mergeCells>
  <conditionalFormatting sqref="A46:A47 AE55:AK58 A67:A68 A59 AG42:AK42 AE38:AK41 AS55:AX58 AR55:AR57 AR41:AX42 AR38:AX39 A35:B35 A38:B39 B36">
    <cfRule type="cellIs" priority="6" dxfId="0" operator="equal" stopIfTrue="1">
      <formula>0</formula>
    </cfRule>
  </conditionalFormatting>
  <conditionalFormatting sqref="AR58">
    <cfRule type="cellIs" priority="5" dxfId="0" operator="equal" stopIfTrue="1">
      <formula>0</formula>
    </cfRule>
  </conditionalFormatting>
  <conditionalFormatting sqref="A69">
    <cfRule type="cellIs" priority="4" dxfId="0" operator="equal" stopIfTrue="1">
      <formula>0</formula>
    </cfRule>
  </conditionalFormatting>
  <conditionalFormatting sqref="A70">
    <cfRule type="cellIs" priority="2" dxfId="0" operator="equal" stopIfTrue="1">
      <formula>0</formula>
    </cfRule>
  </conditionalFormatting>
  <conditionalFormatting sqref="A70">
    <cfRule type="cellIs" priority="3" dxfId="0" operator="equal" stopIfTrue="1">
      <formula>0</formula>
    </cfRule>
  </conditionalFormatting>
  <conditionalFormatting sqref="A36:A37">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CF98"/>
  <sheetViews>
    <sheetView zoomScale="90" zoomScaleNormal="90" workbookViewId="0" topLeftCell="A1">
      <selection activeCell="A1" sqref="A1"/>
    </sheetView>
  </sheetViews>
  <sheetFormatPr defaultColWidth="9.140625" defaultRowHeight="12.75"/>
  <cols>
    <col min="1" max="1" width="2.7109375" style="956" customWidth="1"/>
    <col min="2" max="2" width="44.8515625" style="956" customWidth="1"/>
    <col min="3" max="3" width="10.140625" style="956" customWidth="1"/>
    <col min="4" max="4" width="9.7109375" style="956" customWidth="1"/>
    <col min="5" max="5" width="1.57421875" style="957" customWidth="1"/>
    <col min="6" max="6" width="8.7109375" style="957" hidden="1" customWidth="1"/>
    <col min="7" max="15" width="8.7109375" style="957" customWidth="1"/>
    <col min="16" max="21" width="8.7109375" style="957" hidden="1" customWidth="1"/>
    <col min="22" max="28" width="9.7109375" style="957" hidden="1" customWidth="1"/>
    <col min="29" max="37" width="9.7109375" style="956" hidden="1" customWidth="1"/>
    <col min="38" max="38" width="1.57421875" style="956" customWidth="1"/>
    <col min="39" max="39" width="9.421875" style="956" customWidth="1"/>
    <col min="40" max="40" width="9.00390625" style="956" customWidth="1"/>
    <col min="41" max="42" width="9.7109375" style="959" customWidth="1"/>
    <col min="43" max="43" width="1.57421875" style="956" customWidth="1"/>
    <col min="44" max="48" width="9.7109375" style="956" customWidth="1"/>
    <col min="49" max="53" width="9.7109375" style="956" hidden="1" customWidth="1"/>
    <col min="54" max="54" width="1.57421875" style="956" customWidth="1"/>
    <col min="55" max="16384" width="9.140625" style="956" customWidth="1"/>
  </cols>
  <sheetData>
    <row r="1" ht="12.75"/>
    <row r="2" spans="8:25" ht="12.75">
      <c r="H2" s="958"/>
      <c r="I2" s="958"/>
      <c r="L2" s="958"/>
      <c r="M2" s="958"/>
      <c r="P2" s="958"/>
      <c r="Q2" s="958"/>
      <c r="T2" s="958"/>
      <c r="U2" s="958"/>
      <c r="X2" s="958"/>
      <c r="Y2" s="958"/>
    </row>
    <row r="3" ht="12.75"/>
    <row r="4" ht="12.75"/>
    <row r="5" spans="1:31" ht="12.75">
      <c r="A5" s="957"/>
      <c r="B5" s="957"/>
      <c r="C5" s="957"/>
      <c r="D5" s="957"/>
      <c r="AC5" s="957"/>
      <c r="AD5" s="957"/>
      <c r="AE5" s="957"/>
    </row>
    <row r="6" spans="1:31" ht="18" customHeight="1">
      <c r="A6" s="1212" t="s">
        <v>467</v>
      </c>
      <c r="B6" s="957"/>
      <c r="C6" s="957"/>
      <c r="D6" s="957"/>
      <c r="AC6" s="957"/>
      <c r="AD6" s="957"/>
      <c r="AE6" s="957"/>
    </row>
    <row r="7" spans="1:40" ht="18" customHeight="1">
      <c r="A7" s="1212" t="s">
        <v>493</v>
      </c>
      <c r="B7" s="957"/>
      <c r="C7" s="957"/>
      <c r="D7" s="957"/>
      <c r="AC7" s="957"/>
      <c r="AD7" s="957"/>
      <c r="AE7" s="957"/>
      <c r="AN7" s="957"/>
    </row>
    <row r="8" spans="1:31" ht="18" customHeight="1">
      <c r="A8" s="960" t="s">
        <v>488</v>
      </c>
      <c r="B8" s="961"/>
      <c r="C8" s="961"/>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57"/>
      <c r="AD8" s="957"/>
      <c r="AE8" s="957"/>
    </row>
    <row r="9" spans="1:42" ht="9.75" customHeight="1">
      <c r="A9" s="962"/>
      <c r="B9" s="962"/>
      <c r="C9" s="962"/>
      <c r="D9" s="962"/>
      <c r="E9" s="962"/>
      <c r="F9" s="962"/>
      <c r="G9" s="962"/>
      <c r="H9" s="963"/>
      <c r="I9" s="962"/>
      <c r="J9" s="962"/>
      <c r="K9" s="962"/>
      <c r="L9" s="963"/>
      <c r="M9" s="962"/>
      <c r="N9" s="962"/>
      <c r="O9" s="962"/>
      <c r="P9" s="963"/>
      <c r="Q9" s="962"/>
      <c r="R9" s="963"/>
      <c r="S9" s="962"/>
      <c r="T9" s="963"/>
      <c r="U9" s="962"/>
      <c r="V9" s="963"/>
      <c r="W9" s="962"/>
      <c r="X9" s="963"/>
      <c r="Y9" s="962"/>
      <c r="Z9" s="963"/>
      <c r="AA9" s="962"/>
      <c r="AB9" s="962"/>
      <c r="AC9" s="957"/>
      <c r="AD9" s="957"/>
      <c r="AE9" s="957"/>
      <c r="AO9" s="964"/>
      <c r="AP9" s="964"/>
    </row>
    <row r="10" spans="1:54" ht="12.75">
      <c r="A10" s="965" t="s">
        <v>1</v>
      </c>
      <c r="B10" s="966"/>
      <c r="C10" s="1457" t="s">
        <v>497</v>
      </c>
      <c r="D10" s="1458"/>
      <c r="E10" s="967"/>
      <c r="F10" s="968"/>
      <c r="G10" s="968"/>
      <c r="H10" s="1007"/>
      <c r="I10" s="1222"/>
      <c r="J10" s="1007"/>
      <c r="K10" s="1007"/>
      <c r="L10" s="1007"/>
      <c r="M10" s="1222"/>
      <c r="N10" s="1007"/>
      <c r="O10" s="1007"/>
      <c r="P10" s="1007"/>
      <c r="Q10" s="1007"/>
      <c r="R10" s="1118"/>
      <c r="S10" s="1007"/>
      <c r="T10" s="1007"/>
      <c r="U10" s="1007"/>
      <c r="V10" s="1118"/>
      <c r="W10" s="1007"/>
      <c r="X10" s="1007"/>
      <c r="Y10" s="1007"/>
      <c r="Z10" s="1118"/>
      <c r="AA10" s="1007"/>
      <c r="AB10" s="1222"/>
      <c r="AC10" s="1222"/>
      <c r="AD10" s="1222"/>
      <c r="AE10" s="1006"/>
      <c r="AF10" s="1006"/>
      <c r="AG10" s="966"/>
      <c r="AH10" s="1006"/>
      <c r="AI10" s="966"/>
      <c r="AJ10" s="966"/>
      <c r="AK10" s="1006"/>
      <c r="AL10" s="1005"/>
      <c r="AM10" s="725" t="s">
        <v>406</v>
      </c>
      <c r="AN10" s="711"/>
      <c r="AO10" s="711" t="s">
        <v>480</v>
      </c>
      <c r="AP10" s="712"/>
      <c r="AQ10" s="972"/>
      <c r="AR10" s="973"/>
      <c r="AS10" s="973"/>
      <c r="AT10" s="973"/>
      <c r="AU10" s="973"/>
      <c r="AV10" s="973"/>
      <c r="AW10" s="974"/>
      <c r="AX10" s="974"/>
      <c r="AY10" s="973"/>
      <c r="AZ10" s="975"/>
      <c r="BA10" s="975"/>
      <c r="BB10" s="976"/>
    </row>
    <row r="11" spans="1:61" ht="13.5">
      <c r="A11" s="965" t="s">
        <v>2</v>
      </c>
      <c r="B11" s="966"/>
      <c r="C11" s="1447" t="s">
        <v>41</v>
      </c>
      <c r="D11" s="1448"/>
      <c r="E11" s="977"/>
      <c r="F11" s="978"/>
      <c r="G11" s="978" t="s">
        <v>430</v>
      </c>
      <c r="H11" s="978" t="s">
        <v>429</v>
      </c>
      <c r="I11" s="979" t="s">
        <v>427</v>
      </c>
      <c r="J11" s="978" t="s">
        <v>362</v>
      </c>
      <c r="K11" s="978" t="s">
        <v>363</v>
      </c>
      <c r="L11" s="978" t="s">
        <v>364</v>
      </c>
      <c r="M11" s="979" t="s">
        <v>365</v>
      </c>
      <c r="N11" s="978" t="s">
        <v>277</v>
      </c>
      <c r="O11" s="978" t="s">
        <v>278</v>
      </c>
      <c r="P11" s="978" t="s">
        <v>279</v>
      </c>
      <c r="Q11" s="979" t="s">
        <v>276</v>
      </c>
      <c r="R11" s="980" t="s">
        <v>222</v>
      </c>
      <c r="S11" s="978" t="s">
        <v>223</v>
      </c>
      <c r="T11" s="978" t="s">
        <v>224</v>
      </c>
      <c r="U11" s="978" t="e">
        <v>#REF!</v>
      </c>
      <c r="V11" s="980" t="s">
        <v>141</v>
      </c>
      <c r="W11" s="978" t="s">
        <v>140</v>
      </c>
      <c r="X11" s="978" t="s">
        <v>139</v>
      </c>
      <c r="Y11" s="978" t="s">
        <v>138</v>
      </c>
      <c r="Z11" s="980" t="s">
        <v>91</v>
      </c>
      <c r="AA11" s="978" t="s">
        <v>92</v>
      </c>
      <c r="AB11" s="979" t="s">
        <v>93</v>
      </c>
      <c r="AC11" s="979" t="s">
        <v>32</v>
      </c>
      <c r="AD11" s="979" t="s">
        <v>32</v>
      </c>
      <c r="AE11" s="1006"/>
      <c r="AF11" s="1006"/>
      <c r="AG11" s="966"/>
      <c r="AH11" s="1006"/>
      <c r="AI11" s="966"/>
      <c r="AJ11" s="966"/>
      <c r="AK11" s="1006"/>
      <c r="AL11" s="1005"/>
      <c r="AM11" s="21" t="s">
        <v>430</v>
      </c>
      <c r="AN11" s="21" t="s">
        <v>363</v>
      </c>
      <c r="AO11" s="1454" t="s">
        <v>41</v>
      </c>
      <c r="AP11" s="1440"/>
      <c r="AQ11" s="981"/>
      <c r="AR11" s="982" t="s">
        <v>367</v>
      </c>
      <c r="AS11" s="982" t="s">
        <v>285</v>
      </c>
      <c r="AT11" s="982" t="s">
        <v>143</v>
      </c>
      <c r="AU11" s="982" t="s">
        <v>142</v>
      </c>
      <c r="AV11" s="980" t="s">
        <v>45</v>
      </c>
      <c r="AW11" s="982" t="s">
        <v>42</v>
      </c>
      <c r="AX11" s="982" t="s">
        <v>43</v>
      </c>
      <c r="AY11" s="982" t="s">
        <v>165</v>
      </c>
      <c r="AZ11" s="982" t="s">
        <v>166</v>
      </c>
      <c r="BA11" s="982" t="s">
        <v>167</v>
      </c>
      <c r="BB11" s="976"/>
      <c r="BC11" s="957"/>
      <c r="BD11" s="957"/>
      <c r="BE11" s="957"/>
      <c r="BF11" s="957"/>
      <c r="BG11" s="957"/>
      <c r="BH11" s="957"/>
      <c r="BI11" s="957"/>
    </row>
    <row r="12" spans="1:61" s="1000" customFormat="1" ht="12.75">
      <c r="A12" s="965"/>
      <c r="B12" s="965"/>
      <c r="C12" s="983"/>
      <c r="D12" s="984"/>
      <c r="E12" s="985"/>
      <c r="F12" s="986"/>
      <c r="G12" s="986" t="s">
        <v>307</v>
      </c>
      <c r="H12" s="986" t="s">
        <v>307</v>
      </c>
      <c r="I12" s="987" t="s">
        <v>307</v>
      </c>
      <c r="J12" s="986" t="s">
        <v>307</v>
      </c>
      <c r="K12" s="986" t="s">
        <v>307</v>
      </c>
      <c r="L12" s="986" t="s">
        <v>307</v>
      </c>
      <c r="M12" s="987" t="s">
        <v>307</v>
      </c>
      <c r="N12" s="986" t="s">
        <v>307</v>
      </c>
      <c r="O12" s="986" t="s">
        <v>307</v>
      </c>
      <c r="P12" s="986" t="s">
        <v>307</v>
      </c>
      <c r="Q12" s="987" t="s">
        <v>307</v>
      </c>
      <c r="R12" s="986" t="s">
        <v>307</v>
      </c>
      <c r="S12" s="986" t="s">
        <v>307</v>
      </c>
      <c r="T12" s="986" t="s">
        <v>307</v>
      </c>
      <c r="U12" s="987" t="s">
        <v>307</v>
      </c>
      <c r="V12" s="986" t="s">
        <v>308</v>
      </c>
      <c r="W12" s="986" t="s">
        <v>308</v>
      </c>
      <c r="X12" s="986" t="s">
        <v>308</v>
      </c>
      <c r="Y12" s="987" t="s">
        <v>308</v>
      </c>
      <c r="Z12" s="988"/>
      <c r="AA12" s="988"/>
      <c r="AB12" s="988"/>
      <c r="AC12" s="989"/>
      <c r="AD12" s="988"/>
      <c r="AE12" s="988"/>
      <c r="AF12" s="988"/>
      <c r="AG12" s="988"/>
      <c r="AH12" s="990"/>
      <c r="AI12" s="989"/>
      <c r="AJ12" s="989"/>
      <c r="AK12" s="989"/>
      <c r="AL12" s="991"/>
      <c r="AM12" s="992" t="s">
        <v>307</v>
      </c>
      <c r="AN12" s="993" t="s">
        <v>307</v>
      </c>
      <c r="AO12" s="994"/>
      <c r="AP12" s="995"/>
      <c r="AQ12" s="996"/>
      <c r="AR12" s="997" t="s">
        <v>307</v>
      </c>
      <c r="AS12" s="997" t="s">
        <v>307</v>
      </c>
      <c r="AT12" s="997" t="s">
        <v>307</v>
      </c>
      <c r="AU12" s="997" t="s">
        <v>308</v>
      </c>
      <c r="AV12" s="997" t="s">
        <v>308</v>
      </c>
      <c r="AW12" s="997" t="s">
        <v>308</v>
      </c>
      <c r="AX12" s="997" t="s">
        <v>308</v>
      </c>
      <c r="AY12" s="997" t="s">
        <v>308</v>
      </c>
      <c r="AZ12" s="991"/>
      <c r="BA12" s="991"/>
      <c r="BB12" s="998"/>
      <c r="BC12" s="999"/>
      <c r="BD12" s="999"/>
      <c r="BE12" s="999"/>
      <c r="BF12" s="999"/>
      <c r="BG12" s="999"/>
      <c r="BH12" s="999"/>
      <c r="BI12" s="999"/>
    </row>
    <row r="13" spans="1:59" ht="12.75" customHeight="1">
      <c r="A13" s="1001" t="s">
        <v>68</v>
      </c>
      <c r="B13" s="1002"/>
      <c r="C13" s="1003"/>
      <c r="D13" s="1004"/>
      <c r="E13" s="1005"/>
      <c r="F13" s="1006"/>
      <c r="G13" s="1006"/>
      <c r="H13" s="1006"/>
      <c r="I13" s="1004"/>
      <c r="J13" s="1006"/>
      <c r="K13" s="1006"/>
      <c r="L13" s="1006"/>
      <c r="M13" s="1004"/>
      <c r="N13" s="1006"/>
      <c r="O13" s="1006"/>
      <c r="P13" s="1006"/>
      <c r="Q13" s="1004"/>
      <c r="R13" s="1006"/>
      <c r="S13" s="1006"/>
      <c r="T13" s="1006"/>
      <c r="U13" s="1004"/>
      <c r="V13" s="1006"/>
      <c r="W13" s="1006"/>
      <c r="X13" s="1006"/>
      <c r="Y13" s="1004"/>
      <c r="Z13" s="1006"/>
      <c r="AA13" s="1006"/>
      <c r="AB13" s="1006"/>
      <c r="AC13" s="1004"/>
      <c r="AD13" s="1007"/>
      <c r="AE13" s="1006"/>
      <c r="AF13" s="1006"/>
      <c r="AG13" s="1004"/>
      <c r="AH13" s="1003"/>
      <c r="AI13" s="1004"/>
      <c r="AJ13" s="1004"/>
      <c r="AK13" s="1004"/>
      <c r="AL13" s="1005"/>
      <c r="AM13" s="1006"/>
      <c r="AN13" s="1006"/>
      <c r="AO13" s="1008"/>
      <c r="AP13" s="1009"/>
      <c r="AQ13" s="1010"/>
      <c r="AR13" s="1005"/>
      <c r="AS13" s="1005"/>
      <c r="AT13" s="1005"/>
      <c r="AU13" s="1005"/>
      <c r="AV13" s="1005"/>
      <c r="AW13" s="1005"/>
      <c r="AX13" s="1005"/>
      <c r="AY13" s="1011"/>
      <c r="AZ13" s="1012"/>
      <c r="BA13" s="1012"/>
      <c r="BB13" s="976"/>
      <c r="BC13" s="957"/>
      <c r="BD13" s="957"/>
      <c r="BE13" s="957"/>
      <c r="BF13" s="957"/>
      <c r="BG13" s="957"/>
    </row>
    <row r="14" spans="1:59" ht="12.75" customHeight="1">
      <c r="A14" s="966"/>
      <c r="B14" s="1004" t="s">
        <v>460</v>
      </c>
      <c r="C14" s="1013">
        <v>10644</v>
      </c>
      <c r="D14" s="1014">
        <v>0.2828970099667774</v>
      </c>
      <c r="E14" s="1015"/>
      <c r="F14" s="1036"/>
      <c r="G14" s="1036">
        <v>48269</v>
      </c>
      <c r="H14" s="1036">
        <v>44000</v>
      </c>
      <c r="I14" s="238">
        <v>52943</v>
      </c>
      <c r="J14" s="1036">
        <v>45206</v>
      </c>
      <c r="K14" s="1036">
        <v>37625</v>
      </c>
      <c r="L14" s="1036">
        <v>39474</v>
      </c>
      <c r="M14" s="238">
        <v>31050</v>
      </c>
      <c r="N14" s="237">
        <v>18487</v>
      </c>
      <c r="O14" s="234">
        <v>17197</v>
      </c>
      <c r="P14" s="234">
        <v>17790</v>
      </c>
      <c r="Q14" s="238">
        <v>26012</v>
      </c>
      <c r="R14" s="237">
        <v>27712</v>
      </c>
      <c r="S14" s="234">
        <v>32618</v>
      </c>
      <c r="T14" s="234">
        <v>20083</v>
      </c>
      <c r="U14" s="238"/>
      <c r="V14" s="1016"/>
      <c r="W14" s="1016"/>
      <c r="X14" s="1018"/>
      <c r="Y14" s="1017"/>
      <c r="Z14" s="1019"/>
      <c r="AA14" s="1019"/>
      <c r="AB14" s="1019"/>
      <c r="AC14" s="1017"/>
      <c r="AD14" s="1142"/>
      <c r="AE14" s="1225"/>
      <c r="AF14" s="1225"/>
      <c r="AG14" s="1226"/>
      <c r="AH14" s="1122"/>
      <c r="AI14" s="1226"/>
      <c r="AJ14" s="1226"/>
      <c r="AK14" s="1226"/>
      <c r="AL14" s="1227"/>
      <c r="AM14" s="1134">
        <v>145212</v>
      </c>
      <c r="AN14" s="1016">
        <v>108149</v>
      </c>
      <c r="AO14" s="1024">
        <v>37063</v>
      </c>
      <c r="AP14" s="1014">
        <v>0.3427031225438978</v>
      </c>
      <c r="AQ14" s="1072"/>
      <c r="AR14" s="1228">
        <v>153355</v>
      </c>
      <c r="AS14" s="1228">
        <v>79486</v>
      </c>
      <c r="AT14" s="1229">
        <v>106219</v>
      </c>
      <c r="AU14" s="201">
        <v>97629</v>
      </c>
      <c r="AV14" s="201">
        <v>74794</v>
      </c>
      <c r="AW14" s="201" t="e">
        <v>#REF!</v>
      </c>
      <c r="AX14" s="1025">
        <v>187562</v>
      </c>
      <c r="AY14" s="1011">
        <v>150470</v>
      </c>
      <c r="AZ14" s="1011">
        <v>95559</v>
      </c>
      <c r="BA14" s="1011"/>
      <c r="BB14" s="957"/>
      <c r="BC14" s="957"/>
      <c r="BD14" s="957"/>
      <c r="BE14" s="957"/>
      <c r="BF14" s="957"/>
      <c r="BG14" s="957"/>
    </row>
    <row r="15" spans="1:59" ht="12.75" customHeight="1">
      <c r="A15" s="1002"/>
      <c r="B15" s="966"/>
      <c r="C15" s="1026">
        <v>10644</v>
      </c>
      <c r="D15" s="1027">
        <v>0.2828970099667774</v>
      </c>
      <c r="E15" s="1015"/>
      <c r="F15" s="1030"/>
      <c r="G15" s="1029">
        <v>48269</v>
      </c>
      <c r="H15" s="1029">
        <v>44000</v>
      </c>
      <c r="I15" s="1028">
        <v>52943</v>
      </c>
      <c r="J15" s="1030">
        <v>45206</v>
      </c>
      <c r="K15" s="1029">
        <v>37625</v>
      </c>
      <c r="L15" s="1029">
        <v>39474</v>
      </c>
      <c r="M15" s="1028">
        <v>31050</v>
      </c>
      <c r="N15" s="1029">
        <v>18487</v>
      </c>
      <c r="O15" s="1029">
        <v>17197</v>
      </c>
      <c r="P15" s="1029">
        <v>17790</v>
      </c>
      <c r="Q15" s="1028">
        <v>26012</v>
      </c>
      <c r="R15" s="1016">
        <v>27712</v>
      </c>
      <c r="S15" s="1016">
        <v>32618</v>
      </c>
      <c r="T15" s="1016">
        <v>20083</v>
      </c>
      <c r="U15" s="1028"/>
      <c r="V15" s="1016"/>
      <c r="W15" s="1016"/>
      <c r="X15" s="1016"/>
      <c r="Y15" s="1028"/>
      <c r="Z15" s="1029"/>
      <c r="AA15" s="1029"/>
      <c r="AB15" s="1029"/>
      <c r="AC15" s="1028"/>
      <c r="AD15" s="1029"/>
      <c r="AE15" s="1029"/>
      <c r="AF15" s="1029"/>
      <c r="AG15" s="1029"/>
      <c r="AH15" s="1030"/>
      <c r="AI15" s="1028"/>
      <c r="AJ15" s="1028"/>
      <c r="AK15" s="1028"/>
      <c r="AL15" s="1227"/>
      <c r="AM15" s="1016">
        <v>145212</v>
      </c>
      <c r="AN15" s="1016">
        <v>108149</v>
      </c>
      <c r="AO15" s="1031">
        <v>37063</v>
      </c>
      <c r="AP15" s="1027">
        <v>0.3427031225438978</v>
      </c>
      <c r="AQ15" s="1072"/>
      <c r="AR15" s="1032">
        <v>153355</v>
      </c>
      <c r="AS15" s="1032">
        <v>79486</v>
      </c>
      <c r="AT15" s="1032">
        <v>106219</v>
      </c>
      <c r="AU15" s="1032">
        <v>97629</v>
      </c>
      <c r="AV15" s="1032">
        <v>74794</v>
      </c>
      <c r="AW15" s="1032">
        <v>90788</v>
      </c>
      <c r="AX15" s="1032">
        <v>187562</v>
      </c>
      <c r="AY15" s="1033">
        <v>150470</v>
      </c>
      <c r="AZ15" s="1033">
        <v>95559</v>
      </c>
      <c r="BA15" s="1033">
        <v>211758</v>
      </c>
      <c r="BB15" s="957"/>
      <c r="BD15" s="957"/>
      <c r="BE15" s="957"/>
      <c r="BF15" s="957"/>
      <c r="BG15" s="957"/>
    </row>
    <row r="16" spans="1:59" ht="12.75" customHeight="1">
      <c r="A16" s="1001" t="s">
        <v>5</v>
      </c>
      <c r="B16" s="966"/>
      <c r="C16" s="1013"/>
      <c r="D16" s="1014"/>
      <c r="E16" s="1015"/>
      <c r="F16" s="1019"/>
      <c r="G16" s="1034"/>
      <c r="H16" s="1019"/>
      <c r="I16" s="1017"/>
      <c r="J16" s="1019"/>
      <c r="K16" s="1034"/>
      <c r="L16" s="1019"/>
      <c r="M16" s="1017"/>
      <c r="N16" s="1019"/>
      <c r="O16" s="1034"/>
      <c r="P16" s="1019"/>
      <c r="Q16" s="1017"/>
      <c r="R16" s="1019"/>
      <c r="S16" s="1034"/>
      <c r="T16" s="1019"/>
      <c r="U16" s="1017"/>
      <c r="V16" s="1019"/>
      <c r="W16" s="1034"/>
      <c r="X16" s="1019"/>
      <c r="Y16" s="1017"/>
      <c r="Z16" s="1034"/>
      <c r="AA16" s="1034"/>
      <c r="AB16" s="1034"/>
      <c r="AC16" s="1035"/>
      <c r="AD16" s="1036"/>
      <c r="AE16" s="1036"/>
      <c r="AF16" s="1036"/>
      <c r="AG16" s="1036"/>
      <c r="AH16" s="1037"/>
      <c r="AI16" s="1017"/>
      <c r="AJ16" s="1017"/>
      <c r="AK16" s="1017"/>
      <c r="AL16" s="1227"/>
      <c r="AM16" s="1019"/>
      <c r="AN16" s="1019"/>
      <c r="AO16" s="1024"/>
      <c r="AP16" s="1014"/>
      <c r="AQ16" s="1072"/>
      <c r="AR16" s="1230"/>
      <c r="AS16" s="1230"/>
      <c r="AT16" s="1230"/>
      <c r="AU16" s="1230"/>
      <c r="AV16" s="1230"/>
      <c r="AW16" s="1025"/>
      <c r="AX16" s="1025"/>
      <c r="AY16" s="1039"/>
      <c r="AZ16" s="1039"/>
      <c r="BA16" s="1039"/>
      <c r="BB16" s="957"/>
      <c r="BD16" s="957"/>
      <c r="BE16" s="957"/>
      <c r="BF16" s="957"/>
      <c r="BG16" s="957"/>
    </row>
    <row r="17" spans="1:59" ht="12.75" customHeight="1">
      <c r="A17" s="1001"/>
      <c r="B17" s="966" t="s">
        <v>458</v>
      </c>
      <c r="C17" s="1013">
        <v>5810</v>
      </c>
      <c r="D17" s="1014">
        <v>0.3105457266556203</v>
      </c>
      <c r="E17" s="1015"/>
      <c r="F17" s="1019"/>
      <c r="G17" s="1019">
        <v>24519</v>
      </c>
      <c r="H17" s="1019">
        <v>21953</v>
      </c>
      <c r="I17" s="1017">
        <v>25374</v>
      </c>
      <c r="J17" s="1019">
        <v>23498</v>
      </c>
      <c r="K17" s="1019">
        <v>18709</v>
      </c>
      <c r="L17" s="1019">
        <v>19610</v>
      </c>
      <c r="M17" s="1017">
        <v>18095</v>
      </c>
      <c r="N17" s="1019">
        <v>11934</v>
      </c>
      <c r="O17" s="1019">
        <v>8230</v>
      </c>
      <c r="P17" s="1019">
        <v>8694</v>
      </c>
      <c r="Q17" s="1017">
        <v>13018</v>
      </c>
      <c r="R17" s="1019" t="e">
        <v>#REF!</v>
      </c>
      <c r="S17" s="1019" t="e">
        <v>#REF!</v>
      </c>
      <c r="T17" s="1019" t="e">
        <v>#REF!</v>
      </c>
      <c r="U17" s="1017"/>
      <c r="V17" s="1019"/>
      <c r="W17" s="1019"/>
      <c r="X17" s="1019"/>
      <c r="Y17" s="1017"/>
      <c r="Z17" s="1019"/>
      <c r="AA17" s="1019"/>
      <c r="AB17" s="1019"/>
      <c r="AC17" s="1017"/>
      <c r="AD17" s="1036"/>
      <c r="AE17" s="1036"/>
      <c r="AF17" s="1036"/>
      <c r="AG17" s="1036"/>
      <c r="AH17" s="1037"/>
      <c r="AI17" s="1017"/>
      <c r="AJ17" s="1017"/>
      <c r="AK17" s="1017"/>
      <c r="AL17" s="1227"/>
      <c r="AM17" s="1019">
        <v>71846</v>
      </c>
      <c r="AN17" s="1019">
        <v>56414</v>
      </c>
      <c r="AO17" s="1024">
        <v>15432</v>
      </c>
      <c r="AP17" s="1014">
        <v>0.27354911901301093</v>
      </c>
      <c r="AQ17" s="1072"/>
      <c r="AR17" s="1228">
        <v>79912</v>
      </c>
      <c r="AS17" s="1228">
        <v>41876</v>
      </c>
      <c r="AT17" s="586">
        <v>54480</v>
      </c>
      <c r="AU17" s="782">
        <v>53240</v>
      </c>
      <c r="AV17" s="782">
        <v>34505</v>
      </c>
      <c r="AW17" s="782" t="e">
        <v>#REF!</v>
      </c>
      <c r="AX17" s="1025"/>
      <c r="AY17" s="1039"/>
      <c r="AZ17" s="1039"/>
      <c r="BA17" s="1039"/>
      <c r="BB17" s="957"/>
      <c r="BD17" s="957"/>
      <c r="BE17" s="957"/>
      <c r="BF17" s="957"/>
      <c r="BG17" s="957"/>
    </row>
    <row r="18" spans="1:84" ht="12.75" customHeight="1">
      <c r="A18" s="1001"/>
      <c r="B18" s="966" t="s">
        <v>459</v>
      </c>
      <c r="C18" s="1043">
        <v>746</v>
      </c>
      <c r="D18" s="1044" t="s">
        <v>44</v>
      </c>
      <c r="E18" s="1015"/>
      <c r="F18" s="1045"/>
      <c r="G18" s="1045">
        <v>953</v>
      </c>
      <c r="H18" s="1045">
        <v>924</v>
      </c>
      <c r="I18" s="1046">
        <v>850</v>
      </c>
      <c r="J18" s="1045">
        <v>803</v>
      </c>
      <c r="K18" s="1045">
        <v>207</v>
      </c>
      <c r="L18" s="1045">
        <v>506</v>
      </c>
      <c r="M18" s="1046">
        <v>925</v>
      </c>
      <c r="N18" s="1045">
        <v>1237</v>
      </c>
      <c r="O18" s="1045">
        <v>1164</v>
      </c>
      <c r="P18" s="1045">
        <v>942</v>
      </c>
      <c r="Q18" s="1046">
        <v>1100</v>
      </c>
      <c r="R18" s="1019">
        <v>327</v>
      </c>
      <c r="S18" s="1019">
        <v>390</v>
      </c>
      <c r="T18" s="1019">
        <v>1291</v>
      </c>
      <c r="U18" s="1017"/>
      <c r="V18" s="1019"/>
      <c r="W18" s="1019"/>
      <c r="X18" s="1019"/>
      <c r="Y18" s="1017"/>
      <c r="Z18" s="1019"/>
      <c r="AA18" s="1019"/>
      <c r="AB18" s="1019"/>
      <c r="AC18" s="1017"/>
      <c r="AD18" s="1036"/>
      <c r="AE18" s="1036"/>
      <c r="AF18" s="1036"/>
      <c r="AG18" s="1036"/>
      <c r="AH18" s="1037"/>
      <c r="AI18" s="1017"/>
      <c r="AJ18" s="1017"/>
      <c r="AK18" s="1017"/>
      <c r="AL18" s="1227"/>
      <c r="AM18" s="1302">
        <v>2727</v>
      </c>
      <c r="AN18" s="1045">
        <v>1638</v>
      </c>
      <c r="AO18" s="1047">
        <v>1089</v>
      </c>
      <c r="AP18" s="1044">
        <v>0.6648351648351648</v>
      </c>
      <c r="AQ18" s="1072"/>
      <c r="AR18" s="1231">
        <v>2441</v>
      </c>
      <c r="AS18" s="1231">
        <v>4443</v>
      </c>
      <c r="AT18" s="1232">
        <v>2859</v>
      </c>
      <c r="AU18" s="1233">
        <v>586</v>
      </c>
      <c r="AV18" s="1233">
        <v>151</v>
      </c>
      <c r="AW18" s="782">
        <v>-803</v>
      </c>
      <c r="AX18" s="1025"/>
      <c r="AY18" s="1039"/>
      <c r="AZ18" s="1039"/>
      <c r="BA18" s="1039"/>
      <c r="BB18" s="957"/>
      <c r="BC18" s="957"/>
      <c r="BD18" s="957"/>
      <c r="BE18" s="957"/>
      <c r="BF18" s="957"/>
      <c r="BG18" s="957"/>
      <c r="BH18" s="957"/>
      <c r="BI18" s="957"/>
      <c r="BJ18" s="957"/>
      <c r="BK18" s="957"/>
      <c r="BL18" s="957"/>
      <c r="BM18" s="957"/>
      <c r="BN18" s="957"/>
      <c r="BO18" s="957"/>
      <c r="BP18" s="957"/>
      <c r="BQ18" s="957"/>
      <c r="BR18" s="957"/>
      <c r="BS18" s="957"/>
      <c r="BT18" s="957"/>
      <c r="BU18" s="957"/>
      <c r="BV18" s="957"/>
      <c r="BW18" s="957"/>
      <c r="BX18" s="957"/>
      <c r="BY18" s="957"/>
      <c r="BZ18" s="957"/>
      <c r="CA18" s="957"/>
      <c r="CB18" s="957"/>
      <c r="CC18" s="957"/>
      <c r="CD18" s="957"/>
      <c r="CE18" s="957"/>
      <c r="CF18" s="957"/>
    </row>
    <row r="19" spans="1:59" ht="12.75" customHeight="1">
      <c r="A19" s="1002"/>
      <c r="B19" s="166" t="s">
        <v>261</v>
      </c>
      <c r="C19" s="1013">
        <v>6556</v>
      </c>
      <c r="D19" s="1014">
        <v>0.34658490167054345</v>
      </c>
      <c r="E19" s="1015"/>
      <c r="F19" s="234"/>
      <c r="G19" s="234">
        <v>25472</v>
      </c>
      <c r="H19" s="1019">
        <v>22877</v>
      </c>
      <c r="I19" s="1017">
        <v>26224</v>
      </c>
      <c r="J19" s="234">
        <v>24301</v>
      </c>
      <c r="K19" s="234">
        <v>18916</v>
      </c>
      <c r="L19" s="1019">
        <v>20116</v>
      </c>
      <c r="M19" s="1017">
        <v>19020</v>
      </c>
      <c r="N19" s="1019">
        <v>13171</v>
      </c>
      <c r="O19" s="234">
        <v>9394</v>
      </c>
      <c r="P19" s="234">
        <v>9636</v>
      </c>
      <c r="Q19" s="238">
        <v>14118</v>
      </c>
      <c r="R19" s="234">
        <v>14656</v>
      </c>
      <c r="S19" s="234">
        <v>17670</v>
      </c>
      <c r="T19" s="234">
        <v>11063</v>
      </c>
      <c r="U19" s="238"/>
      <c r="V19" s="1019"/>
      <c r="W19" s="1019"/>
      <c r="X19" s="1019"/>
      <c r="Y19" s="1017"/>
      <c r="Z19" s="1019"/>
      <c r="AA19" s="1019"/>
      <c r="AB19" s="1019"/>
      <c r="AC19" s="1017"/>
      <c r="AD19" s="1036"/>
      <c r="AE19" s="1036"/>
      <c r="AF19" s="1036"/>
      <c r="AG19" s="1036"/>
      <c r="AH19" s="1037"/>
      <c r="AI19" s="1017"/>
      <c r="AJ19" s="1017"/>
      <c r="AK19" s="1017"/>
      <c r="AL19" s="1227"/>
      <c r="AM19" s="1019">
        <v>74573</v>
      </c>
      <c r="AN19" s="1036">
        <v>58052</v>
      </c>
      <c r="AO19" s="1024">
        <v>16521</v>
      </c>
      <c r="AP19" s="1014">
        <v>0.2845896782195273</v>
      </c>
      <c r="AQ19" s="1072"/>
      <c r="AR19" s="1228">
        <v>82353</v>
      </c>
      <c r="AS19" s="1228">
        <v>46319</v>
      </c>
      <c r="AT19" s="1229">
        <v>57339</v>
      </c>
      <c r="AU19" s="201">
        <v>53826</v>
      </c>
      <c r="AV19" s="201">
        <v>34656</v>
      </c>
      <c r="AW19" s="201">
        <v>47146</v>
      </c>
      <c r="AX19" s="1025">
        <v>98642</v>
      </c>
      <c r="AY19" s="1039">
        <v>82259</v>
      </c>
      <c r="AZ19" s="1039">
        <v>47759</v>
      </c>
      <c r="BA19" s="1039">
        <v>120298</v>
      </c>
      <c r="BB19" s="957"/>
      <c r="BD19" s="957"/>
      <c r="BE19" s="957"/>
      <c r="BF19" s="957"/>
      <c r="BG19" s="957"/>
    </row>
    <row r="20" spans="1:59" ht="12.75" customHeight="1">
      <c r="A20" s="1002"/>
      <c r="B20" s="1004" t="s">
        <v>74</v>
      </c>
      <c r="C20" s="1013">
        <v>352</v>
      </c>
      <c r="D20" s="1014">
        <v>0.168179646440516</v>
      </c>
      <c r="E20" s="1015"/>
      <c r="F20" s="1019"/>
      <c r="G20" s="234">
        <v>2445</v>
      </c>
      <c r="H20" s="1019">
        <v>2608</v>
      </c>
      <c r="I20" s="1017">
        <v>2449</v>
      </c>
      <c r="J20" s="1019">
        <v>3061</v>
      </c>
      <c r="K20" s="234">
        <v>2093</v>
      </c>
      <c r="L20" s="1019">
        <v>2346</v>
      </c>
      <c r="M20" s="1017">
        <v>2564</v>
      </c>
      <c r="N20" s="1019">
        <v>1303</v>
      </c>
      <c r="O20" s="234">
        <v>1048</v>
      </c>
      <c r="P20" s="234">
        <v>1128</v>
      </c>
      <c r="Q20" s="238">
        <v>1093</v>
      </c>
      <c r="R20" s="234">
        <v>1169</v>
      </c>
      <c r="S20" s="234">
        <v>1250</v>
      </c>
      <c r="T20" s="234">
        <v>1315</v>
      </c>
      <c r="U20" s="238"/>
      <c r="V20" s="1019"/>
      <c r="W20" s="1019"/>
      <c r="X20" s="1019"/>
      <c r="Y20" s="1017"/>
      <c r="Z20" s="1019"/>
      <c r="AA20" s="1019"/>
      <c r="AB20" s="1019"/>
      <c r="AC20" s="1017"/>
      <c r="AD20" s="1036"/>
      <c r="AE20" s="1036"/>
      <c r="AF20" s="1036"/>
      <c r="AG20" s="1036"/>
      <c r="AH20" s="1037"/>
      <c r="AI20" s="1017"/>
      <c r="AJ20" s="1017"/>
      <c r="AK20" s="1017"/>
      <c r="AL20" s="1227"/>
      <c r="AM20" s="1019">
        <v>7502</v>
      </c>
      <c r="AN20" s="1019">
        <v>7003</v>
      </c>
      <c r="AO20" s="1024">
        <v>499</v>
      </c>
      <c r="AP20" s="1132">
        <v>0.07125517635299157</v>
      </c>
      <c r="AQ20" s="1072"/>
      <c r="AR20" s="1228">
        <v>10064</v>
      </c>
      <c r="AS20" s="1228">
        <v>4572</v>
      </c>
      <c r="AT20" s="43">
        <v>4921</v>
      </c>
      <c r="AU20" s="43">
        <v>4348</v>
      </c>
      <c r="AV20" s="201">
        <v>5162</v>
      </c>
      <c r="AW20" s="201">
        <v>4483</v>
      </c>
      <c r="AX20" s="1025">
        <v>1847</v>
      </c>
      <c r="AY20" s="1039">
        <v>2414</v>
      </c>
      <c r="AZ20" s="1039">
        <v>6699</v>
      </c>
      <c r="BA20" s="1039">
        <v>12517</v>
      </c>
      <c r="BB20" s="957"/>
      <c r="BD20" s="957"/>
      <c r="BE20" s="957"/>
      <c r="BF20" s="957"/>
      <c r="BG20" s="957"/>
    </row>
    <row r="21" spans="1:59" ht="12.75" customHeight="1" hidden="1">
      <c r="A21" s="1002"/>
      <c r="B21" s="966" t="s">
        <v>231</v>
      </c>
      <c r="C21" s="1013">
        <v>0</v>
      </c>
      <c r="D21" s="1014" t="e">
        <v>#DIV/0!</v>
      </c>
      <c r="E21" s="1015"/>
      <c r="F21" s="1050"/>
      <c r="G21" s="31"/>
      <c r="H21" s="1050"/>
      <c r="I21" s="1051"/>
      <c r="J21" s="1050"/>
      <c r="K21" s="31"/>
      <c r="L21" s="1050"/>
      <c r="M21" s="1051"/>
      <c r="N21" s="1050"/>
      <c r="O21" s="31"/>
      <c r="P21" s="31"/>
      <c r="Q21" s="28"/>
      <c r="R21" s="31"/>
      <c r="S21" s="31"/>
      <c r="T21" s="31"/>
      <c r="U21" s="28"/>
      <c r="V21" s="1050"/>
      <c r="W21" s="1050"/>
      <c r="X21" s="1050"/>
      <c r="Y21" s="1051"/>
      <c r="Z21" s="1050"/>
      <c r="AA21" s="1050"/>
      <c r="AB21" s="1050"/>
      <c r="AC21" s="1051"/>
      <c r="AD21" s="1052"/>
      <c r="AE21" s="1052"/>
      <c r="AF21" s="1052"/>
      <c r="AG21" s="1042"/>
      <c r="AH21" s="1025"/>
      <c r="AI21" s="1042"/>
      <c r="AJ21" s="1042"/>
      <c r="AK21" s="1042"/>
      <c r="AL21" s="1230"/>
      <c r="AM21" s="1019">
        <v>0</v>
      </c>
      <c r="AN21" s="1050">
        <v>0</v>
      </c>
      <c r="AO21" s="1053"/>
      <c r="AP21" s="1014" t="e">
        <v>#DIV/0!</v>
      </c>
      <c r="AQ21" s="1234"/>
      <c r="AR21" s="1228">
        <v>0</v>
      </c>
      <c r="AS21" s="1228">
        <v>0</v>
      </c>
      <c r="AT21" s="43"/>
      <c r="AU21" s="43"/>
      <c r="AV21" s="43"/>
      <c r="AW21" s="43"/>
      <c r="AX21" s="1039">
        <v>0</v>
      </c>
      <c r="AY21" s="1039">
        <v>0</v>
      </c>
      <c r="AZ21" s="1039"/>
      <c r="BA21" s="1039"/>
      <c r="BB21" s="957"/>
      <c r="BD21" s="957"/>
      <c r="BE21" s="957"/>
      <c r="BF21" s="957"/>
      <c r="BG21" s="957"/>
    </row>
    <row r="22" spans="1:59" ht="12.75" customHeight="1">
      <c r="A22" s="1002"/>
      <c r="B22" s="1004" t="s">
        <v>104</v>
      </c>
      <c r="C22" s="1013">
        <v>1801</v>
      </c>
      <c r="D22" s="1014">
        <v>0.48570658036677455</v>
      </c>
      <c r="E22" s="1015"/>
      <c r="F22" s="1019"/>
      <c r="G22" s="234">
        <v>5509</v>
      </c>
      <c r="H22" s="1019">
        <v>5109</v>
      </c>
      <c r="I22" s="1017">
        <v>6136</v>
      </c>
      <c r="J22" s="1019">
        <v>3964</v>
      </c>
      <c r="K22" s="234">
        <v>3708</v>
      </c>
      <c r="L22" s="1019">
        <v>4437</v>
      </c>
      <c r="M22" s="1017">
        <v>5699</v>
      </c>
      <c r="N22" s="1019">
        <v>545</v>
      </c>
      <c r="O22" s="234">
        <v>1034</v>
      </c>
      <c r="P22" s="234">
        <v>1593</v>
      </c>
      <c r="Q22" s="238">
        <v>1112</v>
      </c>
      <c r="R22" s="234">
        <v>999</v>
      </c>
      <c r="S22" s="234">
        <v>931</v>
      </c>
      <c r="T22" s="234">
        <v>997</v>
      </c>
      <c r="U22" s="238"/>
      <c r="V22" s="1019"/>
      <c r="W22" s="1019"/>
      <c r="X22" s="1019"/>
      <c r="Y22" s="1017"/>
      <c r="Z22" s="1019"/>
      <c r="AA22" s="1019"/>
      <c r="AB22" s="1019"/>
      <c r="AC22" s="1017"/>
      <c r="AD22" s="1036"/>
      <c r="AE22" s="1036"/>
      <c r="AF22" s="1036"/>
      <c r="AG22" s="1036"/>
      <c r="AH22" s="1037"/>
      <c r="AI22" s="1017"/>
      <c r="AJ22" s="1017"/>
      <c r="AK22" s="1017"/>
      <c r="AL22" s="1227"/>
      <c r="AM22" s="1019">
        <v>16754</v>
      </c>
      <c r="AN22" s="1019">
        <v>13844</v>
      </c>
      <c r="AO22" s="1024">
        <v>2910</v>
      </c>
      <c r="AP22" s="1014">
        <v>0.21019936434556485</v>
      </c>
      <c r="AQ22" s="1072"/>
      <c r="AR22" s="1228">
        <v>17808</v>
      </c>
      <c r="AS22" s="1228">
        <v>4284</v>
      </c>
      <c r="AT22" s="43">
        <v>3997</v>
      </c>
      <c r="AU22" s="43">
        <v>5370</v>
      </c>
      <c r="AV22" s="201">
        <v>8618</v>
      </c>
      <c r="AW22" s="201">
        <v>8531</v>
      </c>
      <c r="AX22" s="1025">
        <v>2191</v>
      </c>
      <c r="AY22" s="1039">
        <v>2896</v>
      </c>
      <c r="AZ22" s="1039">
        <v>1887</v>
      </c>
      <c r="BA22" s="1039">
        <v>3440</v>
      </c>
      <c r="BB22" s="957"/>
      <c r="BD22" s="957"/>
      <c r="BE22" s="957"/>
      <c r="BF22" s="957"/>
      <c r="BG22" s="957"/>
    </row>
    <row r="23" spans="1:59" ht="12.75" customHeight="1">
      <c r="A23" s="1002"/>
      <c r="B23" s="1004" t="s">
        <v>76</v>
      </c>
      <c r="C23" s="1013">
        <v>95</v>
      </c>
      <c r="D23" s="1055">
        <v>0.04929942916450441</v>
      </c>
      <c r="E23" s="1015"/>
      <c r="F23" s="1019"/>
      <c r="G23" s="234">
        <v>2022</v>
      </c>
      <c r="H23" s="1019">
        <v>2084</v>
      </c>
      <c r="I23" s="1017">
        <v>1969</v>
      </c>
      <c r="J23" s="1019">
        <v>1846</v>
      </c>
      <c r="K23" s="234">
        <v>1927</v>
      </c>
      <c r="L23" s="1019">
        <v>2385</v>
      </c>
      <c r="M23" s="1017">
        <v>2263</v>
      </c>
      <c r="N23" s="1019">
        <v>1345</v>
      </c>
      <c r="O23" s="234">
        <v>1204</v>
      </c>
      <c r="P23" s="234">
        <v>1323</v>
      </c>
      <c r="Q23" s="238">
        <v>1159</v>
      </c>
      <c r="R23" s="234">
        <v>1182</v>
      </c>
      <c r="S23" s="234">
        <v>1109</v>
      </c>
      <c r="T23" s="234">
        <v>1096</v>
      </c>
      <c r="U23" s="238"/>
      <c r="V23" s="1019"/>
      <c r="W23" s="1019"/>
      <c r="X23" s="1019"/>
      <c r="Y23" s="1017"/>
      <c r="Z23" s="1019"/>
      <c r="AA23" s="1019"/>
      <c r="AB23" s="1019"/>
      <c r="AC23" s="1017"/>
      <c r="AD23" s="1036"/>
      <c r="AE23" s="1036"/>
      <c r="AF23" s="1036"/>
      <c r="AG23" s="1036"/>
      <c r="AH23" s="1037"/>
      <c r="AI23" s="1017"/>
      <c r="AJ23" s="1017"/>
      <c r="AK23" s="1017"/>
      <c r="AL23" s="1227"/>
      <c r="AM23" s="1019">
        <v>6075</v>
      </c>
      <c r="AN23" s="1019">
        <v>6575</v>
      </c>
      <c r="AO23" s="1024">
        <v>-500</v>
      </c>
      <c r="AP23" s="1014">
        <v>-0.07604562737642585</v>
      </c>
      <c r="AQ23" s="1072"/>
      <c r="AR23" s="1228">
        <v>8421</v>
      </c>
      <c r="AS23" s="1228">
        <v>5031</v>
      </c>
      <c r="AT23" s="43">
        <v>4451</v>
      </c>
      <c r="AU23" s="43">
        <v>4811</v>
      </c>
      <c r="AV23" s="201">
        <v>5141</v>
      </c>
      <c r="AW23" s="201">
        <v>4966</v>
      </c>
      <c r="AX23" s="1025">
        <v>3000</v>
      </c>
      <c r="AY23" s="1039">
        <v>2293</v>
      </c>
      <c r="AZ23" s="1039">
        <v>1365</v>
      </c>
      <c r="BA23" s="1039">
        <v>4236</v>
      </c>
      <c r="BB23" s="957"/>
      <c r="BD23" s="957"/>
      <c r="BE23" s="957"/>
      <c r="BF23" s="957"/>
      <c r="BG23" s="957"/>
    </row>
    <row r="24" spans="1:59" ht="12.75" customHeight="1">
      <c r="A24" s="1002"/>
      <c r="B24" s="1004" t="s">
        <v>77</v>
      </c>
      <c r="C24" s="1013">
        <v>-149</v>
      </c>
      <c r="D24" s="1014">
        <v>-0.045288753799392095</v>
      </c>
      <c r="E24" s="1015"/>
      <c r="F24" s="1019"/>
      <c r="G24" s="234">
        <v>3141</v>
      </c>
      <c r="H24" s="1019">
        <v>2699</v>
      </c>
      <c r="I24" s="1017">
        <v>2676</v>
      </c>
      <c r="J24" s="1019">
        <v>2527</v>
      </c>
      <c r="K24" s="234">
        <v>3290</v>
      </c>
      <c r="L24" s="1019">
        <v>3084</v>
      </c>
      <c r="M24" s="1017">
        <v>3406</v>
      </c>
      <c r="N24" s="1019">
        <v>1587</v>
      </c>
      <c r="O24" s="234">
        <v>1370</v>
      </c>
      <c r="P24" s="234">
        <v>1347</v>
      </c>
      <c r="Q24" s="238">
        <v>1265</v>
      </c>
      <c r="R24" s="234">
        <v>1249</v>
      </c>
      <c r="S24" s="234">
        <v>1371</v>
      </c>
      <c r="T24" s="234">
        <v>1427</v>
      </c>
      <c r="U24" s="238"/>
      <c r="V24" s="1019"/>
      <c r="W24" s="1019"/>
      <c r="X24" s="1019"/>
      <c r="Y24" s="1017"/>
      <c r="Z24" s="1019"/>
      <c r="AA24" s="1019"/>
      <c r="AB24" s="1019"/>
      <c r="AC24" s="1017"/>
      <c r="AD24" s="1036"/>
      <c r="AE24" s="1036"/>
      <c r="AF24" s="1036"/>
      <c r="AG24" s="1036"/>
      <c r="AH24" s="1037"/>
      <c r="AI24" s="1017"/>
      <c r="AJ24" s="1017"/>
      <c r="AK24" s="1017"/>
      <c r="AL24" s="1227"/>
      <c r="AM24" s="1019">
        <v>8516</v>
      </c>
      <c r="AN24" s="1019">
        <v>9780</v>
      </c>
      <c r="AO24" s="1024">
        <v>-1264</v>
      </c>
      <c r="AP24" s="1014">
        <v>-0.1292433537832311</v>
      </c>
      <c r="AQ24" s="1072"/>
      <c r="AR24" s="1228">
        <v>12307</v>
      </c>
      <c r="AS24" s="1228">
        <v>5569</v>
      </c>
      <c r="AT24" s="43">
        <v>5470</v>
      </c>
      <c r="AU24" s="43">
        <v>5005</v>
      </c>
      <c r="AV24" s="201">
        <v>5056</v>
      </c>
      <c r="AW24" s="201">
        <v>2571</v>
      </c>
      <c r="AX24" s="1025">
        <v>3930</v>
      </c>
      <c r="AY24" s="1039">
        <v>2980</v>
      </c>
      <c r="AZ24" s="1039">
        <v>2274</v>
      </c>
      <c r="BA24" s="1039">
        <v>4205</v>
      </c>
      <c r="BB24" s="957"/>
      <c r="BD24" s="957"/>
      <c r="BE24" s="957"/>
      <c r="BF24" s="957"/>
      <c r="BG24" s="957"/>
    </row>
    <row r="25" spans="1:59" ht="12.75" customHeight="1">
      <c r="A25" s="1002"/>
      <c r="B25" s="1004" t="s">
        <v>72</v>
      </c>
      <c r="C25" s="1013">
        <v>523</v>
      </c>
      <c r="D25" s="1014">
        <v>1.1832579185520362</v>
      </c>
      <c r="E25" s="1015"/>
      <c r="F25" s="1019"/>
      <c r="G25" s="234">
        <v>965</v>
      </c>
      <c r="H25" s="1019">
        <v>817</v>
      </c>
      <c r="I25" s="1017">
        <v>1237</v>
      </c>
      <c r="J25" s="1019">
        <v>393</v>
      </c>
      <c r="K25" s="234">
        <v>442</v>
      </c>
      <c r="L25" s="1019">
        <v>502</v>
      </c>
      <c r="M25" s="1017">
        <v>562</v>
      </c>
      <c r="N25" s="1019">
        <v>81</v>
      </c>
      <c r="O25" s="234">
        <v>48</v>
      </c>
      <c r="P25" s="234">
        <v>56</v>
      </c>
      <c r="Q25" s="238">
        <v>38</v>
      </c>
      <c r="R25" s="234">
        <v>41</v>
      </c>
      <c r="S25" s="234">
        <v>52</v>
      </c>
      <c r="T25" s="234">
        <v>30</v>
      </c>
      <c r="U25" s="238"/>
      <c r="V25" s="1019"/>
      <c r="W25" s="1019"/>
      <c r="X25" s="1019"/>
      <c r="Y25" s="1017"/>
      <c r="Z25" s="1019"/>
      <c r="AA25" s="1019"/>
      <c r="AB25" s="1019"/>
      <c r="AC25" s="1017"/>
      <c r="AD25" s="1036"/>
      <c r="AE25" s="1036"/>
      <c r="AF25" s="1036"/>
      <c r="AG25" s="1036"/>
      <c r="AH25" s="1037"/>
      <c r="AI25" s="1017"/>
      <c r="AJ25" s="1017"/>
      <c r="AK25" s="1017"/>
      <c r="AL25" s="1227"/>
      <c r="AM25" s="1019">
        <v>3019</v>
      </c>
      <c r="AN25" s="1019">
        <v>1506</v>
      </c>
      <c r="AO25" s="1024">
        <v>1513</v>
      </c>
      <c r="AP25" s="1014">
        <v>1.00464807436919</v>
      </c>
      <c r="AQ25" s="1072"/>
      <c r="AR25" s="1228">
        <v>1899</v>
      </c>
      <c r="AS25" s="1228">
        <v>223</v>
      </c>
      <c r="AT25" s="43">
        <v>181</v>
      </c>
      <c r="AU25" s="43">
        <v>238</v>
      </c>
      <c r="AV25" s="201">
        <v>170</v>
      </c>
      <c r="AW25" s="201">
        <v>129</v>
      </c>
      <c r="AX25" s="1025">
        <v>551</v>
      </c>
      <c r="AY25" s="1039">
        <v>175</v>
      </c>
      <c r="AZ25" s="1039">
        <v>114</v>
      </c>
      <c r="BA25" s="1039">
        <v>35</v>
      </c>
      <c r="BB25" s="957"/>
      <c r="BD25" s="957"/>
      <c r="BE25" s="957"/>
      <c r="BF25" s="957"/>
      <c r="BG25" s="957"/>
    </row>
    <row r="26" spans="1:59" ht="12.75" customHeight="1">
      <c r="A26" s="1002"/>
      <c r="B26" s="1004" t="s">
        <v>78</v>
      </c>
      <c r="C26" s="1013">
        <v>-596</v>
      </c>
      <c r="D26" s="1014">
        <v>-0.14066556525843757</v>
      </c>
      <c r="E26" s="1015"/>
      <c r="F26" s="1019"/>
      <c r="G26" s="234">
        <v>3641</v>
      </c>
      <c r="H26" s="1019">
        <v>2765</v>
      </c>
      <c r="I26" s="1017">
        <v>4603</v>
      </c>
      <c r="J26" s="1019">
        <v>4060</v>
      </c>
      <c r="K26" s="234">
        <v>4237</v>
      </c>
      <c r="L26" s="1019">
        <v>3965</v>
      </c>
      <c r="M26" s="1017">
        <v>4820</v>
      </c>
      <c r="N26" s="1019">
        <v>3382</v>
      </c>
      <c r="O26" s="234">
        <v>3078</v>
      </c>
      <c r="P26" s="234">
        <v>3287</v>
      </c>
      <c r="Q26" s="238">
        <v>3054</v>
      </c>
      <c r="R26" s="234">
        <v>2838</v>
      </c>
      <c r="S26" s="234">
        <v>3018</v>
      </c>
      <c r="T26" s="234">
        <v>2680</v>
      </c>
      <c r="U26" s="238"/>
      <c r="V26" s="1019"/>
      <c r="W26" s="1019"/>
      <c r="X26" s="1019"/>
      <c r="Y26" s="1017"/>
      <c r="Z26" s="1019"/>
      <c r="AA26" s="1019"/>
      <c r="AB26" s="1019"/>
      <c r="AC26" s="1017"/>
      <c r="AD26" s="1036"/>
      <c r="AE26" s="1036"/>
      <c r="AF26" s="1036"/>
      <c r="AG26" s="1036"/>
      <c r="AH26" s="1037"/>
      <c r="AI26" s="1017"/>
      <c r="AJ26" s="1017"/>
      <c r="AK26" s="1017"/>
      <c r="AL26" s="1227"/>
      <c r="AM26" s="1019">
        <v>11009</v>
      </c>
      <c r="AN26" s="1019">
        <v>13022</v>
      </c>
      <c r="AO26" s="1024">
        <v>-2013</v>
      </c>
      <c r="AP26" s="1014">
        <v>-0.1545845492243895</v>
      </c>
      <c r="AQ26" s="1072"/>
      <c r="AR26" s="1228">
        <v>17082</v>
      </c>
      <c r="AS26" s="1228">
        <v>12801</v>
      </c>
      <c r="AT26" s="43">
        <v>11446</v>
      </c>
      <c r="AU26" s="43">
        <v>8776</v>
      </c>
      <c r="AV26" s="201">
        <v>13146</v>
      </c>
      <c r="AW26" s="201">
        <v>12344</v>
      </c>
      <c r="AX26" s="1025">
        <v>12437</v>
      </c>
      <c r="AY26" s="1039">
        <v>11037</v>
      </c>
      <c r="AZ26" s="1039">
        <v>6277</v>
      </c>
      <c r="BA26" s="1039">
        <v>7632</v>
      </c>
      <c r="BB26" s="957"/>
      <c r="BD26" s="957"/>
      <c r="BE26" s="957"/>
      <c r="BF26" s="957"/>
      <c r="BG26" s="957"/>
    </row>
    <row r="27" spans="1:59" ht="12.75" customHeight="1">
      <c r="A27" s="1002"/>
      <c r="B27" s="1004" t="s">
        <v>79</v>
      </c>
      <c r="C27" s="1013">
        <v>77</v>
      </c>
      <c r="D27" s="1014">
        <v>0.3615023474178404</v>
      </c>
      <c r="E27" s="1015"/>
      <c r="F27" s="1019"/>
      <c r="G27" s="234">
        <v>290</v>
      </c>
      <c r="H27" s="1019">
        <v>273</v>
      </c>
      <c r="I27" s="1017">
        <v>262</v>
      </c>
      <c r="J27" s="1019">
        <v>201</v>
      </c>
      <c r="K27" s="234">
        <v>213</v>
      </c>
      <c r="L27" s="1019">
        <v>406</v>
      </c>
      <c r="M27" s="1017">
        <v>442</v>
      </c>
      <c r="N27" s="1019">
        <v>552</v>
      </c>
      <c r="O27" s="234">
        <v>320</v>
      </c>
      <c r="P27" s="234">
        <v>313</v>
      </c>
      <c r="Q27" s="238">
        <v>243</v>
      </c>
      <c r="R27" s="234">
        <v>201</v>
      </c>
      <c r="S27" s="234">
        <v>258</v>
      </c>
      <c r="T27" s="234">
        <v>276</v>
      </c>
      <c r="U27" s="238"/>
      <c r="V27" s="1019"/>
      <c r="W27" s="1019"/>
      <c r="X27" s="1019"/>
      <c r="Y27" s="1017"/>
      <c r="Z27" s="1019"/>
      <c r="AA27" s="1019"/>
      <c r="AB27" s="1019"/>
      <c r="AC27" s="1017"/>
      <c r="AD27" s="1036"/>
      <c r="AE27" s="1036"/>
      <c r="AF27" s="1036"/>
      <c r="AG27" s="1036"/>
      <c r="AH27" s="1037"/>
      <c r="AI27" s="1017"/>
      <c r="AJ27" s="1017"/>
      <c r="AK27" s="1017"/>
      <c r="AL27" s="1227"/>
      <c r="AM27" s="1019">
        <v>825</v>
      </c>
      <c r="AN27" s="1019">
        <v>1061</v>
      </c>
      <c r="AO27" s="1024">
        <v>-236</v>
      </c>
      <c r="AP27" s="1014">
        <v>-0.2224316682375118</v>
      </c>
      <c r="AQ27" s="1072"/>
      <c r="AR27" s="1228">
        <v>1262</v>
      </c>
      <c r="AS27" s="1228">
        <v>1428</v>
      </c>
      <c r="AT27" s="43">
        <v>997</v>
      </c>
      <c r="AU27" s="43">
        <v>1123</v>
      </c>
      <c r="AV27" s="201">
        <v>1098</v>
      </c>
      <c r="AW27" s="201">
        <v>1106</v>
      </c>
      <c r="AX27" s="1025">
        <v>1063</v>
      </c>
      <c r="AY27" s="1039">
        <v>893</v>
      </c>
      <c r="AZ27" s="1039">
        <v>470</v>
      </c>
      <c r="BA27" s="1039">
        <v>1291</v>
      </c>
      <c r="BB27" s="957"/>
      <c r="BD27" s="957"/>
      <c r="BE27" s="957"/>
      <c r="BF27" s="957"/>
      <c r="BG27" s="957"/>
    </row>
    <row r="28" spans="1:59" ht="12.75" customHeight="1">
      <c r="A28" s="966"/>
      <c r="B28" s="1004" t="s">
        <v>80</v>
      </c>
      <c r="C28" s="1013">
        <v>171</v>
      </c>
      <c r="D28" s="1014">
        <v>0.1658583899127061</v>
      </c>
      <c r="E28" s="1015"/>
      <c r="F28" s="1215"/>
      <c r="G28" s="234">
        <v>1202</v>
      </c>
      <c r="H28" s="1019">
        <v>917</v>
      </c>
      <c r="I28" s="1056">
        <v>614</v>
      </c>
      <c r="J28" s="1215">
        <v>762</v>
      </c>
      <c r="K28" s="234">
        <v>1031</v>
      </c>
      <c r="L28" s="1019">
        <v>1301</v>
      </c>
      <c r="M28" s="1056">
        <v>1665</v>
      </c>
      <c r="N28" s="1215">
        <v>1123</v>
      </c>
      <c r="O28" s="234">
        <v>1039</v>
      </c>
      <c r="P28" s="234">
        <v>1211</v>
      </c>
      <c r="Q28" s="238">
        <v>1162</v>
      </c>
      <c r="R28" s="234">
        <v>503</v>
      </c>
      <c r="S28" s="234">
        <v>1204</v>
      </c>
      <c r="T28" s="234">
        <v>1025</v>
      </c>
      <c r="U28" s="238"/>
      <c r="V28" s="1019"/>
      <c r="W28" s="1019"/>
      <c r="X28" s="1019"/>
      <c r="Y28" s="1017"/>
      <c r="Z28" s="1019"/>
      <c r="AA28" s="1019"/>
      <c r="AB28" s="1019"/>
      <c r="AC28" s="1017"/>
      <c r="AD28" s="1036"/>
      <c r="AE28" s="1036"/>
      <c r="AF28" s="1036"/>
      <c r="AG28" s="1036"/>
      <c r="AH28" s="1037"/>
      <c r="AI28" s="1017"/>
      <c r="AJ28" s="1017"/>
      <c r="AK28" s="1017"/>
      <c r="AL28" s="1227"/>
      <c r="AM28" s="1019">
        <v>2733</v>
      </c>
      <c r="AN28" s="1019">
        <v>3997</v>
      </c>
      <c r="AO28" s="1024">
        <v>-1264</v>
      </c>
      <c r="AP28" s="1014">
        <v>-0.31623717788341255</v>
      </c>
      <c r="AQ28" s="1072"/>
      <c r="AR28" s="1228">
        <v>4759</v>
      </c>
      <c r="AS28" s="1228">
        <v>4535</v>
      </c>
      <c r="AT28" s="43">
        <v>3033</v>
      </c>
      <c r="AU28" s="43">
        <v>4075</v>
      </c>
      <c r="AV28" s="201">
        <v>11506</v>
      </c>
      <c r="AW28" s="201">
        <v>16878</v>
      </c>
      <c r="AX28" s="1025">
        <v>1510</v>
      </c>
      <c r="AY28" s="1039">
        <v>538</v>
      </c>
      <c r="AZ28" s="1039">
        <v>590</v>
      </c>
      <c r="BA28" s="1039">
        <v>836</v>
      </c>
      <c r="BB28" s="957"/>
      <c r="BD28" s="957"/>
      <c r="BE28" s="957"/>
      <c r="BF28" s="957"/>
      <c r="BG28" s="957"/>
    </row>
    <row r="29" spans="1:59" ht="12.75" customHeight="1">
      <c r="A29" s="1002"/>
      <c r="B29" s="966" t="s">
        <v>193</v>
      </c>
      <c r="C29" s="1013">
        <v>-2985</v>
      </c>
      <c r="D29" s="1014">
        <v>-1</v>
      </c>
      <c r="E29" s="1015"/>
      <c r="F29" s="1053"/>
      <c r="G29" s="254">
        <v>0</v>
      </c>
      <c r="H29" s="1235">
        <v>0</v>
      </c>
      <c r="I29" s="353">
        <v>0</v>
      </c>
      <c r="J29" s="1053">
        <v>0</v>
      </c>
      <c r="K29" s="254">
        <v>2985</v>
      </c>
      <c r="L29" s="1235">
        <v>3820</v>
      </c>
      <c r="M29" s="353">
        <v>0</v>
      </c>
      <c r="N29" s="1053">
        <v>2758</v>
      </c>
      <c r="O29" s="254">
        <v>408</v>
      </c>
      <c r="P29" s="254">
        <v>0</v>
      </c>
      <c r="Q29" s="353">
        <v>0</v>
      </c>
      <c r="R29" s="1053">
        <v>0</v>
      </c>
      <c r="S29" s="254">
        <v>0</v>
      </c>
      <c r="T29" s="254">
        <v>0</v>
      </c>
      <c r="U29" s="486"/>
      <c r="V29" s="1057"/>
      <c r="W29" s="1073"/>
      <c r="X29" s="1073"/>
      <c r="Y29" s="1074"/>
      <c r="Z29" s="1019"/>
      <c r="AA29" s="1019"/>
      <c r="AB29" s="1073"/>
      <c r="AC29" s="1074"/>
      <c r="AD29" s="1236"/>
      <c r="AE29" s="1235"/>
      <c r="AF29" s="1235"/>
      <c r="AG29" s="1235"/>
      <c r="AH29" s="1237"/>
      <c r="AI29" s="1238"/>
      <c r="AJ29" s="1017"/>
      <c r="AK29" s="1017"/>
      <c r="AL29" s="1227"/>
      <c r="AM29" s="1064">
        <v>0</v>
      </c>
      <c r="AN29" s="254">
        <v>6805</v>
      </c>
      <c r="AO29" s="1024">
        <v>-6805</v>
      </c>
      <c r="AP29" s="1014">
        <v>-1</v>
      </c>
      <c r="AQ29" s="1072"/>
      <c r="AR29" s="1239">
        <v>6805</v>
      </c>
      <c r="AS29" s="1239">
        <v>3166</v>
      </c>
      <c r="AT29" s="302">
        <v>0</v>
      </c>
      <c r="AU29" s="1220">
        <v>0</v>
      </c>
      <c r="AV29" s="1220">
        <v>0</v>
      </c>
      <c r="AW29" s="1093">
        <v>0</v>
      </c>
      <c r="AX29" s="1076">
        <v>0</v>
      </c>
      <c r="AY29" s="1076">
        <v>0</v>
      </c>
      <c r="AZ29" s="1039">
        <v>0</v>
      </c>
      <c r="BA29" s="1039">
        <v>0</v>
      </c>
      <c r="BB29" s="957"/>
      <c r="BD29" s="957"/>
      <c r="BE29" s="957"/>
      <c r="BF29" s="957"/>
      <c r="BG29" s="957"/>
    </row>
    <row r="30" spans="1:59" ht="12.75" customHeight="1" hidden="1">
      <c r="A30" s="966"/>
      <c r="B30" s="1072" t="s">
        <v>192</v>
      </c>
      <c r="C30" s="1013">
        <v>0</v>
      </c>
      <c r="D30" s="1055" t="e">
        <v>#DIV/0!</v>
      </c>
      <c r="E30" s="1015"/>
      <c r="F30" s="1235"/>
      <c r="G30" s="1235"/>
      <c r="H30" s="1235"/>
      <c r="I30" s="1238"/>
      <c r="J30" s="1235"/>
      <c r="K30" s="1235"/>
      <c r="L30" s="1235"/>
      <c r="M30" s="1238"/>
      <c r="N30" s="1235"/>
      <c r="O30" s="1235"/>
      <c r="P30" s="1235"/>
      <c r="Q30" s="1238"/>
      <c r="R30" s="1235"/>
      <c r="S30" s="1235"/>
      <c r="T30" s="1235"/>
      <c r="U30" s="1238"/>
      <c r="V30" s="1235"/>
      <c r="W30" s="1235"/>
      <c r="X30" s="1235"/>
      <c r="Y30" s="1238"/>
      <c r="Z30" s="1235"/>
      <c r="AA30" s="1235"/>
      <c r="AB30" s="1235"/>
      <c r="AC30" s="1238"/>
      <c r="AD30" s="1237"/>
      <c r="AE30" s="1235"/>
      <c r="AF30" s="1235"/>
      <c r="AG30" s="1235"/>
      <c r="AH30" s="1237"/>
      <c r="AI30" s="1238"/>
      <c r="AJ30" s="1238"/>
      <c r="AK30" s="1238"/>
      <c r="AL30" s="1227"/>
      <c r="AM30" s="1064">
        <v>0</v>
      </c>
      <c r="AN30" s="1235">
        <v>0</v>
      </c>
      <c r="AO30" s="1143">
        <v>0</v>
      </c>
      <c r="AP30" s="1014" t="e">
        <v>#DIV/0!</v>
      </c>
      <c r="AQ30" s="1072"/>
      <c r="AR30" s="1220">
        <v>0</v>
      </c>
      <c r="AS30" s="1220">
        <v>0</v>
      </c>
      <c r="AT30" s="1220"/>
      <c r="AU30" s="1220"/>
      <c r="AV30" s="1220"/>
      <c r="AW30" s="1220"/>
      <c r="AX30" s="1071"/>
      <c r="AY30" s="1039"/>
      <c r="AZ30" s="1039"/>
      <c r="BA30" s="1039">
        <v>0</v>
      </c>
      <c r="BB30" s="957"/>
      <c r="BD30" s="957"/>
      <c r="BE30" s="957"/>
      <c r="BF30" s="957"/>
      <c r="BG30" s="957"/>
    </row>
    <row r="31" spans="1:59" ht="12.75" customHeight="1">
      <c r="A31" s="966"/>
      <c r="B31" s="966" t="s">
        <v>191</v>
      </c>
      <c r="C31" s="1013">
        <v>0</v>
      </c>
      <c r="D31" s="1055">
        <v>0</v>
      </c>
      <c r="E31" s="1015"/>
      <c r="F31" s="1235"/>
      <c r="G31" s="1235">
        <v>0</v>
      </c>
      <c r="H31" s="1235">
        <v>0</v>
      </c>
      <c r="I31" s="1238">
        <v>0</v>
      </c>
      <c r="J31" s="1235">
        <v>0</v>
      </c>
      <c r="K31" s="1235">
        <v>0</v>
      </c>
      <c r="L31" s="1235">
        <v>0</v>
      </c>
      <c r="M31" s="1238">
        <v>0</v>
      </c>
      <c r="N31" s="1235">
        <v>0</v>
      </c>
      <c r="O31" s="1235">
        <v>0</v>
      </c>
      <c r="P31" s="1235">
        <v>0</v>
      </c>
      <c r="Q31" s="1238">
        <v>0</v>
      </c>
      <c r="R31" s="1235">
        <v>0</v>
      </c>
      <c r="S31" s="1235">
        <v>0</v>
      </c>
      <c r="T31" s="1235">
        <v>0</v>
      </c>
      <c r="U31" s="1238"/>
      <c r="V31" s="1235"/>
      <c r="W31" s="1235"/>
      <c r="X31" s="1235"/>
      <c r="Y31" s="1238"/>
      <c r="Z31" s="1235"/>
      <c r="AA31" s="1235"/>
      <c r="AB31" s="1235"/>
      <c r="AC31" s="1238"/>
      <c r="AD31" s="1237"/>
      <c r="AE31" s="1235"/>
      <c r="AF31" s="1235"/>
      <c r="AG31" s="1235"/>
      <c r="AH31" s="1237"/>
      <c r="AI31" s="1238"/>
      <c r="AJ31" s="1238"/>
      <c r="AK31" s="1238"/>
      <c r="AL31" s="1227"/>
      <c r="AM31" s="1064">
        <v>0</v>
      </c>
      <c r="AN31" s="1235">
        <v>0</v>
      </c>
      <c r="AO31" s="1143">
        <v>0</v>
      </c>
      <c r="AP31" s="1014">
        <v>0</v>
      </c>
      <c r="AQ31" s="1072"/>
      <c r="AR31" s="1220">
        <v>0</v>
      </c>
      <c r="AS31" s="1220">
        <v>0</v>
      </c>
      <c r="AT31" s="1220">
        <v>0</v>
      </c>
      <c r="AU31" s="1220">
        <v>0</v>
      </c>
      <c r="AV31" s="1093">
        <v>27566</v>
      </c>
      <c r="AW31" s="1220">
        <v>0</v>
      </c>
      <c r="AX31" s="1071">
        <v>0</v>
      </c>
      <c r="AY31" s="1071">
        <v>0</v>
      </c>
      <c r="AZ31" s="1071">
        <v>0</v>
      </c>
      <c r="BA31" s="1071">
        <v>0</v>
      </c>
      <c r="BB31" s="957"/>
      <c r="BD31" s="957"/>
      <c r="BE31" s="957"/>
      <c r="BF31" s="957"/>
      <c r="BG31" s="957"/>
    </row>
    <row r="32" spans="1:59" ht="12.75" customHeight="1">
      <c r="A32" s="966"/>
      <c r="B32" s="966" t="s">
        <v>218</v>
      </c>
      <c r="C32" s="1013">
        <v>0</v>
      </c>
      <c r="D32" s="1055">
        <v>0</v>
      </c>
      <c r="E32" s="1015"/>
      <c r="F32" s="254"/>
      <c r="G32" s="254">
        <v>0</v>
      </c>
      <c r="H32" s="1240">
        <v>0</v>
      </c>
      <c r="I32" s="1056">
        <v>0</v>
      </c>
      <c r="J32" s="254">
        <v>0</v>
      </c>
      <c r="K32" s="254">
        <v>0</v>
      </c>
      <c r="L32" s="1240">
        <v>0</v>
      </c>
      <c r="M32" s="1056">
        <v>0</v>
      </c>
      <c r="N32" s="254">
        <v>438</v>
      </c>
      <c r="O32" s="254">
        <v>0</v>
      </c>
      <c r="P32" s="1053">
        <v>0</v>
      </c>
      <c r="Q32" s="1056">
        <v>0</v>
      </c>
      <c r="R32" s="254">
        <v>0</v>
      </c>
      <c r="S32" s="254">
        <v>0</v>
      </c>
      <c r="T32" s="1053">
        <v>0</v>
      </c>
      <c r="U32" s="1056"/>
      <c r="V32" s="1019"/>
      <c r="W32" s="1057"/>
      <c r="X32" s="1057"/>
      <c r="Y32" s="1058"/>
      <c r="Z32" s="1057"/>
      <c r="AA32" s="1057"/>
      <c r="AB32" s="1057"/>
      <c r="AC32" s="1059"/>
      <c r="AD32" s="1155"/>
      <c r="AE32" s="1155"/>
      <c r="AF32" s="1155"/>
      <c r="AG32" s="1155"/>
      <c r="AH32" s="1241"/>
      <c r="AI32" s="1059"/>
      <c r="AJ32" s="1059"/>
      <c r="AK32" s="1059"/>
      <c r="AL32" s="1067"/>
      <c r="AM32" s="1064">
        <v>0</v>
      </c>
      <c r="AN32" s="1242">
        <v>0</v>
      </c>
      <c r="AO32" s="1216">
        <v>0</v>
      </c>
      <c r="AP32" s="1014">
        <v>0</v>
      </c>
      <c r="AQ32" s="1243"/>
      <c r="AR32" s="302">
        <v>0</v>
      </c>
      <c r="AS32" s="302">
        <v>438</v>
      </c>
      <c r="AT32" s="302">
        <v>0</v>
      </c>
      <c r="AU32" s="1093">
        <v>0</v>
      </c>
      <c r="AV32" s="1093">
        <v>0</v>
      </c>
      <c r="AW32" s="1093">
        <v>0</v>
      </c>
      <c r="AX32" s="1066">
        <v>0</v>
      </c>
      <c r="AY32" s="1067">
        <v>0</v>
      </c>
      <c r="AZ32" s="1039"/>
      <c r="BA32" s="1039">
        <v>0</v>
      </c>
      <c r="BB32" s="957"/>
      <c r="BD32" s="957"/>
      <c r="BE32" s="957"/>
      <c r="BF32" s="957"/>
      <c r="BG32" s="957"/>
    </row>
    <row r="33" spans="1:59" ht="12.75" customHeight="1">
      <c r="A33" s="1002"/>
      <c r="B33" s="966"/>
      <c r="C33" s="1026">
        <v>5845</v>
      </c>
      <c r="D33" s="1077">
        <v>0.15048143761907215</v>
      </c>
      <c r="E33" s="1015"/>
      <c r="F33" s="1029"/>
      <c r="G33" s="1029">
        <v>44687</v>
      </c>
      <c r="H33" s="1029">
        <v>40149</v>
      </c>
      <c r="I33" s="1035">
        <v>46170</v>
      </c>
      <c r="J33" s="1029">
        <v>41115</v>
      </c>
      <c r="K33" s="1029">
        <v>38842</v>
      </c>
      <c r="L33" s="1029">
        <v>42362</v>
      </c>
      <c r="M33" s="1035">
        <v>40441</v>
      </c>
      <c r="N33" s="1029">
        <v>26285</v>
      </c>
      <c r="O33" s="1029">
        <v>18943</v>
      </c>
      <c r="P33" s="1029">
        <v>19894</v>
      </c>
      <c r="Q33" s="1035">
        <v>23244</v>
      </c>
      <c r="R33" s="1078">
        <v>22838</v>
      </c>
      <c r="S33" s="1078">
        <v>26863</v>
      </c>
      <c r="T33" s="1029">
        <v>19909</v>
      </c>
      <c r="U33" s="1035">
        <v>0</v>
      </c>
      <c r="V33" s="1029">
        <v>27693</v>
      </c>
      <c r="W33" s="1078">
        <v>37922</v>
      </c>
      <c r="X33" s="1029">
        <v>19480</v>
      </c>
      <c r="Y33" s="1035">
        <v>22187</v>
      </c>
      <c r="Z33" s="1078">
        <v>0</v>
      </c>
      <c r="AA33" s="1078">
        <v>0</v>
      </c>
      <c r="AB33" s="1078">
        <v>0</v>
      </c>
      <c r="AC33" s="1035">
        <v>0</v>
      </c>
      <c r="AD33" s="1078">
        <v>0</v>
      </c>
      <c r="AE33" s="1078">
        <v>87449</v>
      </c>
      <c r="AF33" s="1028">
        <v>74128</v>
      </c>
      <c r="AG33" s="1078">
        <v>106349</v>
      </c>
      <c r="AH33" s="1079">
        <v>100905</v>
      </c>
      <c r="AI33" s="1035">
        <v>75317</v>
      </c>
      <c r="AJ33" s="1035">
        <v>70703</v>
      </c>
      <c r="AK33" s="1078">
        <v>91522</v>
      </c>
      <c r="AL33" s="1227"/>
      <c r="AM33" s="1029">
        <v>131006</v>
      </c>
      <c r="AN33" s="1029">
        <v>121645</v>
      </c>
      <c r="AO33" s="1080">
        <v>9361</v>
      </c>
      <c r="AP33" s="1081">
        <v>0.0769534300628879</v>
      </c>
      <c r="AQ33" s="966"/>
      <c r="AR33" s="1082">
        <v>162760</v>
      </c>
      <c r="AS33" s="1082">
        <v>88366</v>
      </c>
      <c r="AT33" s="1082">
        <v>91835</v>
      </c>
      <c r="AU33" s="1082">
        <v>87572</v>
      </c>
      <c r="AV33" s="1082">
        <v>112119</v>
      </c>
      <c r="AW33" s="1082">
        <v>98154</v>
      </c>
      <c r="AX33" s="1082">
        <v>125171</v>
      </c>
      <c r="AY33" s="1083">
        <v>105485</v>
      </c>
      <c r="AZ33" s="1083">
        <v>67435</v>
      </c>
      <c r="BA33" s="1033">
        <v>154490</v>
      </c>
      <c r="BB33" s="957"/>
      <c r="BD33" s="957"/>
      <c r="BE33" s="957"/>
      <c r="BF33" s="957"/>
      <c r="BG33" s="957"/>
    </row>
    <row r="34" spans="1:59" s="1089" customFormat="1" ht="24.75" customHeight="1" thickBot="1">
      <c r="A34" s="1449" t="s">
        <v>216</v>
      </c>
      <c r="B34" s="1450"/>
      <c r="C34" s="1026">
        <v>4799</v>
      </c>
      <c r="D34" s="1027" t="s">
        <v>44</v>
      </c>
      <c r="E34" s="1015"/>
      <c r="F34" s="1052"/>
      <c r="G34" s="1315">
        <v>3582</v>
      </c>
      <c r="H34" s="1315">
        <v>3851</v>
      </c>
      <c r="I34" s="1314">
        <v>6773</v>
      </c>
      <c r="J34" s="1315">
        <v>4091</v>
      </c>
      <c r="K34" s="1315">
        <v>-1217</v>
      </c>
      <c r="L34" s="1315">
        <v>-2888</v>
      </c>
      <c r="M34" s="1314">
        <v>-9391</v>
      </c>
      <c r="N34" s="1315">
        <v>-7798</v>
      </c>
      <c r="O34" s="1315">
        <v>-1746</v>
      </c>
      <c r="P34" s="1315">
        <v>-2104</v>
      </c>
      <c r="Q34" s="1314">
        <v>2768</v>
      </c>
      <c r="R34" s="1315">
        <v>4874</v>
      </c>
      <c r="S34" s="1315">
        <v>5755</v>
      </c>
      <c r="T34" s="1240">
        <v>174</v>
      </c>
      <c r="U34" s="1314">
        <v>0</v>
      </c>
      <c r="V34" s="1240">
        <v>-27693</v>
      </c>
      <c r="W34" s="1315">
        <v>-37922</v>
      </c>
      <c r="X34" s="1240">
        <v>-19480</v>
      </c>
      <c r="Y34" s="1314">
        <v>-22187</v>
      </c>
      <c r="Z34" s="1315">
        <v>0</v>
      </c>
      <c r="AA34" s="1315">
        <v>0</v>
      </c>
      <c r="AB34" s="1315">
        <v>0</v>
      </c>
      <c r="AC34" s="1314">
        <v>0</v>
      </c>
      <c r="AD34" s="1315">
        <v>0</v>
      </c>
      <c r="AE34" s="1306">
        <v>22134</v>
      </c>
      <c r="AF34" s="1305">
        <v>14943</v>
      </c>
      <c r="AG34" s="1306">
        <v>48674</v>
      </c>
      <c r="AH34" s="1306">
        <v>29246</v>
      </c>
      <c r="AI34" s="1306">
        <v>26110</v>
      </c>
      <c r="AJ34" s="1306">
        <v>22330</v>
      </c>
      <c r="AK34" s="1306">
        <v>33584</v>
      </c>
      <c r="AL34" s="1271"/>
      <c r="AM34" s="1378">
        <v>14206</v>
      </c>
      <c r="AN34" s="1315">
        <v>-13496</v>
      </c>
      <c r="AO34" s="1345">
        <v>27702</v>
      </c>
      <c r="AP34" s="1027">
        <v>2.052608180201541</v>
      </c>
      <c r="AQ34" s="1006"/>
      <c r="AR34" s="1032">
        <v>-9405</v>
      </c>
      <c r="AS34" s="1032">
        <v>-8880</v>
      </c>
      <c r="AT34" s="1032">
        <v>14384</v>
      </c>
      <c r="AU34" s="1032">
        <v>10057</v>
      </c>
      <c r="AV34" s="1032">
        <v>-37325</v>
      </c>
      <c r="AW34" s="1085">
        <v>-7366</v>
      </c>
      <c r="AX34" s="1085">
        <v>62391</v>
      </c>
      <c r="AY34" s="1033">
        <v>44985</v>
      </c>
      <c r="AZ34" s="1033">
        <v>28124</v>
      </c>
      <c r="BA34" s="1087">
        <v>57268</v>
      </c>
      <c r="BB34" s="1088"/>
      <c r="BD34" s="1088"/>
      <c r="BE34" s="1088"/>
      <c r="BF34" s="1088"/>
      <c r="BG34" s="1088"/>
    </row>
    <row r="35" spans="1:59" s="1089" customFormat="1" ht="12.75" customHeight="1" thickTop="1">
      <c r="A35" s="1090"/>
      <c r="B35" s="1091" t="s">
        <v>451</v>
      </c>
      <c r="C35" s="1026">
        <v>676</v>
      </c>
      <c r="D35" s="1027" t="s">
        <v>44</v>
      </c>
      <c r="E35" s="1015"/>
      <c r="F35" s="1086"/>
      <c r="G35" s="1266">
        <v>676</v>
      </c>
      <c r="H35" s="1266">
        <v>751</v>
      </c>
      <c r="I35" s="951">
        <v>525</v>
      </c>
      <c r="J35" s="250">
        <v>0</v>
      </c>
      <c r="K35" s="381">
        <v>0</v>
      </c>
      <c r="L35" s="381">
        <v>0</v>
      </c>
      <c r="M35" s="1381">
        <v>0</v>
      </c>
      <c r="N35" s="381">
        <v>0</v>
      </c>
      <c r="O35" s="381">
        <v>0</v>
      </c>
      <c r="P35" s="381">
        <v>0</v>
      </c>
      <c r="Q35" s="618">
        <v>0</v>
      </c>
      <c r="R35" s="1345"/>
      <c r="S35" s="621"/>
      <c r="T35" s="1345"/>
      <c r="U35" s="618"/>
      <c r="V35" s="1345"/>
      <c r="W35" s="621"/>
      <c r="X35" s="1345"/>
      <c r="Y35" s="618"/>
      <c r="Z35" s="621"/>
      <c r="AA35" s="621"/>
      <c r="AB35" s="621"/>
      <c r="AC35" s="618"/>
      <c r="AD35" s="621"/>
      <c r="AE35" s="775"/>
      <c r="AF35" s="1350"/>
      <c r="AG35" s="775"/>
      <c r="AH35" s="775"/>
      <c r="AI35" s="775"/>
      <c r="AJ35" s="775"/>
      <c r="AK35" s="775"/>
      <c r="AL35" s="1351"/>
      <c r="AM35" s="1345">
        <v>1952</v>
      </c>
      <c r="AN35" s="381">
        <v>0</v>
      </c>
      <c r="AO35" s="1345">
        <v>1952</v>
      </c>
      <c r="AP35" s="1027" t="s">
        <v>44</v>
      </c>
      <c r="AQ35" s="1380"/>
      <c r="AR35" s="1379">
        <v>0</v>
      </c>
      <c r="AS35" s="1379">
        <v>0</v>
      </c>
      <c r="AT35" s="1379">
        <v>0</v>
      </c>
      <c r="AU35" s="1379">
        <v>0</v>
      </c>
      <c r="AV35" s="1379">
        <v>0</v>
      </c>
      <c r="AW35" s="1025"/>
      <c r="AX35" s="1042"/>
      <c r="AY35" s="1093"/>
      <c r="AZ35" s="1039"/>
      <c r="BA35" s="1050"/>
      <c r="BB35" s="1088"/>
      <c r="BD35" s="1088"/>
      <c r="BE35" s="1088"/>
      <c r="BF35" s="1088"/>
      <c r="BG35" s="1088"/>
    </row>
    <row r="36" spans="1:59" s="1089" customFormat="1" ht="18.75" customHeight="1" thickBot="1">
      <c r="A36" s="1449" t="s">
        <v>82</v>
      </c>
      <c r="B36" s="1451"/>
      <c r="C36" s="1094">
        <v>4123</v>
      </c>
      <c r="D36" s="1244" t="s">
        <v>44</v>
      </c>
      <c r="E36" s="1015"/>
      <c r="F36" s="1096"/>
      <c r="G36" s="1096">
        <v>2906</v>
      </c>
      <c r="H36" s="1096">
        <v>3100</v>
      </c>
      <c r="I36" s="1097">
        <v>6248</v>
      </c>
      <c r="J36" s="1096">
        <v>4091</v>
      </c>
      <c r="K36" s="718">
        <v>-1217</v>
      </c>
      <c r="L36" s="718">
        <v>-2888</v>
      </c>
      <c r="M36" s="1343">
        <v>-9391</v>
      </c>
      <c r="N36" s="718">
        <v>-7798</v>
      </c>
      <c r="O36" s="718">
        <v>-1746</v>
      </c>
      <c r="P36" s="718">
        <v>-2104</v>
      </c>
      <c r="Q36" s="1343">
        <v>2768</v>
      </c>
      <c r="R36" s="718">
        <v>4874</v>
      </c>
      <c r="S36" s="718">
        <v>5755</v>
      </c>
      <c r="T36" s="718">
        <v>174</v>
      </c>
      <c r="U36" s="1343">
        <v>0</v>
      </c>
      <c r="V36" s="718">
        <v>-27693</v>
      </c>
      <c r="W36" s="718">
        <v>-37922</v>
      </c>
      <c r="X36" s="718">
        <v>-19480</v>
      </c>
      <c r="Y36" s="1343">
        <v>-22187</v>
      </c>
      <c r="Z36" s="718">
        <v>0</v>
      </c>
      <c r="AA36" s="718">
        <v>0</v>
      </c>
      <c r="AB36" s="718">
        <v>0</v>
      </c>
      <c r="AC36" s="1343">
        <v>0</v>
      </c>
      <c r="AD36" s="718">
        <v>0</v>
      </c>
      <c r="AE36" s="1352" t="s">
        <v>214</v>
      </c>
      <c r="AF36" s="1353" t="s">
        <v>214</v>
      </c>
      <c r="AG36" s="1352"/>
      <c r="AH36" s="1352"/>
      <c r="AI36" s="1352"/>
      <c r="AJ36" s="1352"/>
      <c r="AK36" s="1352"/>
      <c r="AL36" s="1351"/>
      <c r="AM36" s="718">
        <v>12254</v>
      </c>
      <c r="AN36" s="718">
        <v>-13496</v>
      </c>
      <c r="AO36" s="718">
        <v>25750</v>
      </c>
      <c r="AP36" s="1244">
        <v>1.9079727326615294</v>
      </c>
      <c r="AQ36" s="1092"/>
      <c r="AR36" s="1347">
        <v>-9405</v>
      </c>
      <c r="AS36" s="1347">
        <v>-8880</v>
      </c>
      <c r="AT36" s="1347">
        <v>14384</v>
      </c>
      <c r="AU36" s="1347">
        <v>10057</v>
      </c>
      <c r="AV36" s="1347">
        <v>-37325</v>
      </c>
      <c r="AW36" s="1098">
        <v>-7366</v>
      </c>
      <c r="AX36" s="1097">
        <v>62391</v>
      </c>
      <c r="AY36" s="1099">
        <v>44985</v>
      </c>
      <c r="AZ36" s="1033">
        <v>28124</v>
      </c>
      <c r="BA36" s="1050"/>
      <c r="BB36" s="1088"/>
      <c r="BD36" s="1088"/>
      <c r="BE36" s="1088"/>
      <c r="BF36" s="1088"/>
      <c r="BG36" s="1088"/>
    </row>
    <row r="37" spans="1:59" ht="12.75" customHeight="1" thickTop="1">
      <c r="A37" s="1072"/>
      <c r="B37" s="1072"/>
      <c r="C37" s="1050"/>
      <c r="D37" s="1100"/>
      <c r="E37" s="1100"/>
      <c r="F37" s="1100"/>
      <c r="G37" s="1101"/>
      <c r="H37" s="1101"/>
      <c r="I37" s="1006"/>
      <c r="J37" s="1100"/>
      <c r="K37" s="1101"/>
      <c r="L37" s="1101"/>
      <c r="M37" s="1006"/>
      <c r="N37" s="1100"/>
      <c r="O37" s="1100"/>
      <c r="P37" s="1101"/>
      <c r="Q37" s="1006"/>
      <c r="R37" s="1100"/>
      <c r="S37" s="1100"/>
      <c r="T37" s="1100"/>
      <c r="U37" s="1006"/>
      <c r="V37" s="1100"/>
      <c r="W37" s="1100"/>
      <c r="X37" s="1100"/>
      <c r="Y37" s="1006"/>
      <c r="Z37" s="1100"/>
      <c r="AA37" s="1100"/>
      <c r="AB37" s="1100"/>
      <c r="AC37" s="1006"/>
      <c r="AD37" s="1010"/>
      <c r="AE37" s="1010"/>
      <c r="AF37" s="1010"/>
      <c r="AG37" s="1010"/>
      <c r="AH37" s="1102"/>
      <c r="AI37" s="1102"/>
      <c r="AJ37" s="1102"/>
      <c r="AK37" s="1102"/>
      <c r="AL37" s="1006"/>
      <c r="AM37" s="1006"/>
      <c r="AN37" s="1006"/>
      <c r="AO37" s="1024"/>
      <c r="AP37" s="1100"/>
      <c r="AQ37" s="1006"/>
      <c r="AR37" s="1006"/>
      <c r="AS37" s="1006"/>
      <c r="AT37" s="1006"/>
      <c r="AU37" s="1006"/>
      <c r="AV37" s="1006"/>
      <c r="AW37" s="1050"/>
      <c r="AX37" s="1050"/>
      <c r="AY37" s="1050"/>
      <c r="AZ37" s="1050"/>
      <c r="BA37" s="1050"/>
      <c r="BB37" s="957"/>
      <c r="BD37" s="957"/>
      <c r="BE37" s="957"/>
      <c r="BF37" s="957"/>
      <c r="BG37" s="957"/>
    </row>
    <row r="38" spans="1:59" ht="12.75" customHeight="1">
      <c r="A38" s="1245" t="s">
        <v>401</v>
      </c>
      <c r="B38" s="1072"/>
      <c r="C38" s="1103">
        <v>1.0716605699963966</v>
      </c>
      <c r="D38" s="1100"/>
      <c r="E38" s="1100"/>
      <c r="F38" s="442"/>
      <c r="G38" s="442">
        <v>0.5079657751351799</v>
      </c>
      <c r="H38" s="442">
        <v>0.4989318181818182</v>
      </c>
      <c r="I38" s="442">
        <v>0.4792701584723193</v>
      </c>
      <c r="J38" s="442">
        <v>0.5197982568685573</v>
      </c>
      <c r="K38" s="442">
        <v>0.49724916943521597</v>
      </c>
      <c r="L38" s="442">
        <v>0.4967826924051274</v>
      </c>
      <c r="M38" s="442">
        <v>0.5827697262479871</v>
      </c>
      <c r="N38" s="442">
        <v>0.6455347000595013</v>
      </c>
      <c r="O38" s="442">
        <v>0.4785718439262662</v>
      </c>
      <c r="P38" s="442">
        <v>0.4887015177065767</v>
      </c>
      <c r="Q38" s="442">
        <v>0.5004613255420575</v>
      </c>
      <c r="R38" s="442" t="e">
        <v>#REF!</v>
      </c>
      <c r="S38" s="442" t="e">
        <v>#REF!</v>
      </c>
      <c r="T38" s="442" t="e">
        <v>#REF!</v>
      </c>
      <c r="U38" s="442" t="e">
        <v>#DIV/0!</v>
      </c>
      <c r="V38" s="442" t="e">
        <v>#DIV/0!</v>
      </c>
      <c r="W38" s="442" t="e">
        <v>#DIV/0!</v>
      </c>
      <c r="X38" s="442" t="e">
        <v>#DIV/0!</v>
      </c>
      <c r="Y38" s="442" t="e">
        <v>#DIV/0!</v>
      </c>
      <c r="Z38" s="442" t="e">
        <v>#DIV/0!</v>
      </c>
      <c r="AA38" s="442" t="e">
        <v>#DIV/0!</v>
      </c>
      <c r="AB38" s="442" t="e">
        <v>#DIV/0!</v>
      </c>
      <c r="AC38" s="442" t="e">
        <v>#DIV/0!</v>
      </c>
      <c r="AD38" s="442" t="e">
        <v>#DIV/0!</v>
      </c>
      <c r="AE38" s="442" t="e">
        <v>#DIV/0!</v>
      </c>
      <c r="AF38" s="442" t="e">
        <v>#DIV/0!</v>
      </c>
      <c r="AG38" s="442" t="e">
        <v>#DIV/0!</v>
      </c>
      <c r="AH38" s="442" t="e">
        <v>#DIV/0!</v>
      </c>
      <c r="AI38" s="442" t="e">
        <v>#DIV/0!</v>
      </c>
      <c r="AJ38" s="442" t="e">
        <v>#DIV/0!</v>
      </c>
      <c r="AK38" s="442" t="e">
        <v>#DIV/0!</v>
      </c>
      <c r="AL38" s="442"/>
      <c r="AM38" s="442">
        <v>0.494766272759827</v>
      </c>
      <c r="AN38" s="442">
        <v>0.5216321926231403</v>
      </c>
      <c r="AO38" s="1103">
        <v>-2.6865919863313326</v>
      </c>
      <c r="AP38" s="1100"/>
      <c r="AQ38" s="1006"/>
      <c r="AR38" s="442">
        <v>0.5210915848847445</v>
      </c>
      <c r="AS38" s="442">
        <v>0.5268349143245351</v>
      </c>
      <c r="AT38" s="442">
        <v>0.5129025880492191</v>
      </c>
      <c r="AU38" s="442">
        <v>0.5453297688186912</v>
      </c>
      <c r="AV38" s="442">
        <v>0.46133379682862263</v>
      </c>
      <c r="AW38" s="442" t="e">
        <v>#REF!</v>
      </c>
      <c r="AX38" s="1050"/>
      <c r="AY38" s="1050"/>
      <c r="AZ38" s="1050"/>
      <c r="BA38" s="1050"/>
      <c r="BB38" s="957"/>
      <c r="BD38" s="957"/>
      <c r="BE38" s="957"/>
      <c r="BF38" s="957"/>
      <c r="BG38" s="957"/>
    </row>
    <row r="39" spans="1:59" ht="12.75" customHeight="1">
      <c r="A39" s="1245" t="s">
        <v>402</v>
      </c>
      <c r="B39" s="1072"/>
      <c r="C39" s="1103">
        <v>1.424185955658657</v>
      </c>
      <c r="D39" s="1100"/>
      <c r="E39" s="1100"/>
      <c r="F39" s="442"/>
      <c r="G39" s="442">
        <v>0.019743520686154675</v>
      </c>
      <c r="H39" s="442">
        <v>0.021</v>
      </c>
      <c r="I39" s="442">
        <v>0.01605500254991217</v>
      </c>
      <c r="J39" s="442">
        <v>0.017763128788213955</v>
      </c>
      <c r="K39" s="442">
        <v>0.005501661129568106</v>
      </c>
      <c r="L39" s="442">
        <v>0.012818564118153722</v>
      </c>
      <c r="M39" s="442">
        <v>0.029790660225442835</v>
      </c>
      <c r="N39" s="442">
        <v>0.0669118840266133</v>
      </c>
      <c r="O39" s="442">
        <v>0.06768622434145491</v>
      </c>
      <c r="P39" s="442">
        <v>0.052951096121416526</v>
      </c>
      <c r="Q39" s="442">
        <v>0.04228817468860526</v>
      </c>
      <c r="R39" s="442">
        <v>0.011799942263279446</v>
      </c>
      <c r="S39" s="442">
        <v>0.011956588386780305</v>
      </c>
      <c r="T39" s="442">
        <v>0.06428322461783598</v>
      </c>
      <c r="U39" s="442" t="e">
        <v>#DIV/0!</v>
      </c>
      <c r="V39" s="442" t="e">
        <v>#DIV/0!</v>
      </c>
      <c r="W39" s="442" t="e">
        <v>#DIV/0!</v>
      </c>
      <c r="X39" s="442" t="e">
        <v>#DIV/0!</v>
      </c>
      <c r="Y39" s="442" t="e">
        <v>#DIV/0!</v>
      </c>
      <c r="Z39" s="442" t="e">
        <v>#DIV/0!</v>
      </c>
      <c r="AA39" s="442" t="e">
        <v>#DIV/0!</v>
      </c>
      <c r="AB39" s="442" t="e">
        <v>#DIV/0!</v>
      </c>
      <c r="AC39" s="442" t="e">
        <v>#DIV/0!</v>
      </c>
      <c r="AD39" s="442" t="e">
        <v>#DIV/0!</v>
      </c>
      <c r="AE39" s="442" t="e">
        <v>#DIV/0!</v>
      </c>
      <c r="AF39" s="442" t="e">
        <v>#DIV/0!</v>
      </c>
      <c r="AG39" s="442" t="e">
        <v>#DIV/0!</v>
      </c>
      <c r="AH39" s="442" t="e">
        <v>#DIV/0!</v>
      </c>
      <c r="AI39" s="442" t="e">
        <v>#DIV/0!</v>
      </c>
      <c r="AJ39" s="442" t="e">
        <v>#DIV/0!</v>
      </c>
      <c r="AK39" s="442" t="e">
        <v>#DIV/0!</v>
      </c>
      <c r="AL39" s="442"/>
      <c r="AM39" s="442">
        <v>0.018779439715725973</v>
      </c>
      <c r="AN39" s="442">
        <v>0.015145771112076857</v>
      </c>
      <c r="AO39" s="1103">
        <v>0.3633668603649116</v>
      </c>
      <c r="AP39" s="1100"/>
      <c r="AQ39" s="1006"/>
      <c r="AR39" s="442">
        <v>0.015917316031430342</v>
      </c>
      <c r="AS39" s="442">
        <v>0.055896635885564754</v>
      </c>
      <c r="AT39" s="442">
        <v>0.026916088458750317</v>
      </c>
      <c r="AU39" s="442">
        <v>0.006002314885945774</v>
      </c>
      <c r="AV39" s="442">
        <v>0.002018878519667353</v>
      </c>
      <c r="AW39" s="1107" t="e">
        <v>#REF!</v>
      </c>
      <c r="AX39" s="1050"/>
      <c r="AY39" s="1050"/>
      <c r="AZ39" s="1050"/>
      <c r="BA39" s="1050"/>
      <c r="BB39" s="957"/>
      <c r="BD39" s="957"/>
      <c r="BE39" s="957"/>
      <c r="BF39" s="957"/>
      <c r="BG39" s="957"/>
    </row>
    <row r="40" spans="1:59" ht="12.75" customHeight="1">
      <c r="A40" s="1105" t="s">
        <v>84</v>
      </c>
      <c r="B40" s="1106"/>
      <c r="C40" s="1103">
        <v>2.4958465256550544</v>
      </c>
      <c r="D40" s="1100"/>
      <c r="E40" s="1100"/>
      <c r="F40" s="1104"/>
      <c r="G40" s="1104">
        <v>0.5277092958213346</v>
      </c>
      <c r="H40" s="1104">
        <v>0.5199318181818182</v>
      </c>
      <c r="I40" s="1104">
        <v>0.49532516102223145</v>
      </c>
      <c r="J40" s="1104">
        <v>0.5375613856567713</v>
      </c>
      <c r="K40" s="1104">
        <v>0.5027508305647841</v>
      </c>
      <c r="L40" s="1104">
        <v>0.5096012565232811</v>
      </c>
      <c r="M40" s="1104">
        <v>0.6125603864734299</v>
      </c>
      <c r="N40" s="1104">
        <v>0.7124465840861146</v>
      </c>
      <c r="O40" s="1104">
        <v>0.5462580682677212</v>
      </c>
      <c r="P40" s="1104">
        <v>0.5416526138279932</v>
      </c>
      <c r="Q40" s="1104">
        <v>0.5427495002306628</v>
      </c>
      <c r="R40" s="1104">
        <v>0.5288683602771362</v>
      </c>
      <c r="S40" s="1104">
        <v>0.5417254276779693</v>
      </c>
      <c r="T40" s="1104">
        <v>0.5508639147537718</v>
      </c>
      <c r="U40" s="1104" t="e">
        <v>#DIV/0!</v>
      </c>
      <c r="V40" s="1104">
        <v>0.517236110262209</v>
      </c>
      <c r="W40" s="1104">
        <v>0.5384104687527299</v>
      </c>
      <c r="X40" s="1104">
        <v>0.5644905660377358</v>
      </c>
      <c r="Y40" s="1104">
        <v>0.5728022892127503</v>
      </c>
      <c r="Z40" s="1104" t="e">
        <v>#DIV/0!</v>
      </c>
      <c r="AA40" s="1104" t="e">
        <v>#DIV/0!</v>
      </c>
      <c r="AB40" s="1104" t="e">
        <v>#DIV/0!</v>
      </c>
      <c r="AC40" s="1104" t="e">
        <v>#DIV/0!</v>
      </c>
      <c r="AD40" s="1104" t="e">
        <v>#DIV/0!</v>
      </c>
      <c r="AE40" s="1107">
        <v>0.529</v>
      </c>
      <c r="AF40" s="1107">
        <v>0.474</v>
      </c>
      <c r="AG40" s="1107">
        <v>0.492</v>
      </c>
      <c r="AH40" s="1107">
        <v>0.544</v>
      </c>
      <c r="AI40" s="1107">
        <v>0.508</v>
      </c>
      <c r="AJ40" s="1107">
        <v>0.487</v>
      </c>
      <c r="AK40" s="1107">
        <v>0.527</v>
      </c>
      <c r="AL40" s="1006"/>
      <c r="AM40" s="1104">
        <v>0.513545712475553</v>
      </c>
      <c r="AN40" s="1104">
        <v>0.5367779637352171</v>
      </c>
      <c r="AO40" s="1103">
        <v>-2.3232251259664105</v>
      </c>
      <c r="AP40" s="1100"/>
      <c r="AQ40" s="1006"/>
      <c r="AR40" s="1104">
        <v>0.5370089009161749</v>
      </c>
      <c r="AS40" s="1107">
        <v>0.5827315502100999</v>
      </c>
      <c r="AT40" s="1107">
        <v>0.5398186765079693</v>
      </c>
      <c r="AU40" s="1107">
        <v>0.5513320837046369</v>
      </c>
      <c r="AV40" s="1107">
        <v>0.46335267534828994</v>
      </c>
      <c r="AW40" s="1107">
        <v>0.5192977045424505</v>
      </c>
      <c r="AX40" s="1107">
        <v>0.5259167635235282</v>
      </c>
      <c r="AY40" s="1108">
        <v>0.5466804014089187</v>
      </c>
      <c r="AZ40" s="1108">
        <v>0.4997854728492345</v>
      </c>
      <c r="BA40" s="1108">
        <v>0.568</v>
      </c>
      <c r="BB40" s="957"/>
      <c r="BD40" s="957"/>
      <c r="BE40" s="957"/>
      <c r="BF40" s="957"/>
      <c r="BG40" s="957"/>
    </row>
    <row r="41" spans="1:59" ht="12.75" customHeight="1">
      <c r="A41" s="145" t="s">
        <v>259</v>
      </c>
      <c r="B41" s="1106"/>
      <c r="C41" s="1103">
        <v>1.998418690273207</v>
      </c>
      <c r="D41" s="1100"/>
      <c r="E41" s="1100"/>
      <c r="F41" s="1104"/>
      <c r="G41" s="1104">
        <v>0.5783629244442603</v>
      </c>
      <c r="H41" s="1104">
        <v>0.5792045454545455</v>
      </c>
      <c r="I41" s="1104">
        <v>0.5415824566042725</v>
      </c>
      <c r="J41" s="1104">
        <v>0.6052736362429766</v>
      </c>
      <c r="K41" s="1104">
        <v>0.5583787375415282</v>
      </c>
      <c r="L41" s="1104">
        <v>0.5690327810710848</v>
      </c>
      <c r="M41" s="1104">
        <v>0.6951368760064413</v>
      </c>
      <c r="N41" s="1104">
        <v>0.7829285443825391</v>
      </c>
      <c r="O41" s="1104">
        <v>0.6071989300459383</v>
      </c>
      <c r="P41" s="1104">
        <v>0.6050590219224283</v>
      </c>
      <c r="Q41" s="1104">
        <v>0.5847685683530678</v>
      </c>
      <c r="R41" s="1104">
        <v>0.5710522517321016</v>
      </c>
      <c r="S41" s="1104">
        <v>0.5800478263535471</v>
      </c>
      <c r="T41" s="1104">
        <v>0.6163421799531943</v>
      </c>
      <c r="U41" s="1104" t="e">
        <v>#DIV/0!</v>
      </c>
      <c r="V41" s="1104">
        <v>0.5397286229448077</v>
      </c>
      <c r="W41" s="1104">
        <v>0.5577336338382515</v>
      </c>
      <c r="X41" s="1104">
        <v>0.5812830188679246</v>
      </c>
      <c r="Y41" s="1104">
        <v>0.5884075331070739</v>
      </c>
      <c r="Z41" s="1104" t="e">
        <v>#DIV/0!</v>
      </c>
      <c r="AA41" s="1104" t="e">
        <v>#DIV/0!</v>
      </c>
      <c r="AB41" s="1104" t="e">
        <v>#DIV/0!</v>
      </c>
      <c r="AC41" s="1104" t="e">
        <v>#DIV/0!</v>
      </c>
      <c r="AD41" s="1104" t="e">
        <v>#DIV/0!</v>
      </c>
      <c r="AE41" s="1107">
        <v>0.559</v>
      </c>
      <c r="AF41" s="1107">
        <v>0.51</v>
      </c>
      <c r="AG41" s="1107">
        <v>0.517</v>
      </c>
      <c r="AH41" s="1107">
        <v>0.564</v>
      </c>
      <c r="AI41" s="1107">
        <v>0.539</v>
      </c>
      <c r="AJ41" s="1107">
        <v>0.511</v>
      </c>
      <c r="AK41" s="1107">
        <v>0.553</v>
      </c>
      <c r="AL41" s="1006"/>
      <c r="AM41" s="1104">
        <v>0.565208109522629</v>
      </c>
      <c r="AN41" s="1104">
        <v>0.6015312208157264</v>
      </c>
      <c r="AO41" s="1103">
        <v>-3.63231112930974</v>
      </c>
      <c r="AP41" s="1100"/>
      <c r="AQ41" s="1006"/>
      <c r="AR41" s="1104">
        <v>0.6026344103550585</v>
      </c>
      <c r="AS41" s="1107">
        <v>0.6402511134036183</v>
      </c>
      <c r="AT41" s="1107">
        <v>0.5861474877375987</v>
      </c>
      <c r="AU41" s="1107">
        <v>0.5958680310153746</v>
      </c>
      <c r="AV41" s="1107">
        <v>0.5323689065967858</v>
      </c>
      <c r="AW41" s="1107">
        <v>0.5686764770674538</v>
      </c>
      <c r="AX41" s="1107">
        <v>0.535764173979804</v>
      </c>
      <c r="AY41" s="1108">
        <v>0.5627234664717219</v>
      </c>
      <c r="AZ41" s="1108">
        <v>0.5698887598237738</v>
      </c>
      <c r="BA41" s="1108">
        <v>0.627</v>
      </c>
      <c r="BB41" s="957"/>
      <c r="BD41" s="957"/>
      <c r="BE41" s="957"/>
      <c r="BF41" s="957"/>
      <c r="BG41" s="957"/>
    </row>
    <row r="42" spans="1:59" ht="12.75" customHeight="1">
      <c r="A42" s="1105" t="s">
        <v>85</v>
      </c>
      <c r="B42" s="1106"/>
      <c r="C42" s="1103">
        <v>-12.65388215777733</v>
      </c>
      <c r="D42" s="1100"/>
      <c r="E42" s="1100"/>
      <c r="F42" s="1104"/>
      <c r="G42" s="1104">
        <v>0.34742795583086455</v>
      </c>
      <c r="H42" s="1104">
        <v>0.3332727272727273</v>
      </c>
      <c r="I42" s="1104">
        <v>0.33048750543036853</v>
      </c>
      <c r="J42" s="1104">
        <v>0.3042295270539309</v>
      </c>
      <c r="K42" s="1104">
        <v>0.47396677740863785</v>
      </c>
      <c r="L42" s="1104">
        <v>0.504129300298931</v>
      </c>
      <c r="M42" s="1104">
        <v>0.6073107890499195</v>
      </c>
      <c r="N42" s="1104">
        <v>0.6388813761021258</v>
      </c>
      <c r="O42" s="1104">
        <v>0.4943304064662441</v>
      </c>
      <c r="P42" s="1104">
        <v>0.5132096683530073</v>
      </c>
      <c r="Q42" s="1104">
        <v>0.30881900661233275</v>
      </c>
      <c r="R42" s="1104">
        <v>0.25306726327944573</v>
      </c>
      <c r="S42" s="1104">
        <v>0.24351585014409222</v>
      </c>
      <c r="T42" s="1104">
        <v>0.37499377583030424</v>
      </c>
      <c r="U42" s="1104" t="e">
        <v>#DIV/0!</v>
      </c>
      <c r="V42" s="1104" t="e">
        <v>#DIV/0!</v>
      </c>
      <c r="W42" s="1104" t="e">
        <v>#DIV/0!</v>
      </c>
      <c r="X42" s="1104" t="e">
        <v>#DIV/0!</v>
      </c>
      <c r="Y42" s="1104" t="e">
        <v>#DIV/0!</v>
      </c>
      <c r="Z42" s="1104" t="e">
        <v>#DIV/0!</v>
      </c>
      <c r="AA42" s="1104" t="e">
        <v>#DIV/0!</v>
      </c>
      <c r="AB42" s="1104" t="e">
        <v>#DIV/0!</v>
      </c>
      <c r="AC42" s="1104" t="e">
        <v>#DIV/0!</v>
      </c>
      <c r="AD42" s="1104" t="e">
        <v>#DIV/0!</v>
      </c>
      <c r="AE42" s="1104" t="e">
        <v>#DIV/0!</v>
      </c>
      <c r="AF42" s="1104" t="e">
        <v>#DIV/0!</v>
      </c>
      <c r="AG42" s="1104" t="e">
        <v>#DIV/0!</v>
      </c>
      <c r="AH42" s="1104" t="e">
        <v>#DIV/0!</v>
      </c>
      <c r="AI42" s="1104" t="e">
        <v>#DIV/0!</v>
      </c>
      <c r="AJ42" s="1104" t="e">
        <v>#DIV/0!</v>
      </c>
      <c r="AK42" s="1104" t="e">
        <v>#DIV/0!</v>
      </c>
      <c r="AL42" s="1104"/>
      <c r="AM42" s="1104">
        <v>0.33696250998540067</v>
      </c>
      <c r="AN42" s="1104">
        <v>0.5232595770649752</v>
      </c>
      <c r="AO42" s="1103">
        <v>-18.62970670795745</v>
      </c>
      <c r="AP42" s="1100"/>
      <c r="AQ42" s="1006"/>
      <c r="AR42" s="1104">
        <v>0.4586938802125787</v>
      </c>
      <c r="AS42" s="1104">
        <v>0.47146667337644366</v>
      </c>
      <c r="AT42" s="1104">
        <v>0.2784341784426515</v>
      </c>
      <c r="AU42" s="1104">
        <v>0.30111954439766875</v>
      </c>
      <c r="AV42" s="1104">
        <v>0.9666684493408563</v>
      </c>
      <c r="AW42" s="1104">
        <v>0.5124575935145614</v>
      </c>
      <c r="AX42" s="1107" t="e">
        <v>#REF!</v>
      </c>
      <c r="AY42" s="1108" t="e">
        <v>#REF!</v>
      </c>
      <c r="AZ42" s="1108" t="e">
        <v>#REF!</v>
      </c>
      <c r="BA42" s="1108">
        <v>0.10299999999999998</v>
      </c>
      <c r="BB42" s="957"/>
      <c r="BD42" s="957"/>
      <c r="BE42" s="957"/>
      <c r="BF42" s="957"/>
      <c r="BG42" s="957"/>
    </row>
    <row r="43" spans="1:59" ht="12.75" customHeight="1">
      <c r="A43" s="1105" t="s">
        <v>86</v>
      </c>
      <c r="B43" s="1105"/>
      <c r="C43" s="1103">
        <v>-10.655463467504134</v>
      </c>
      <c r="D43" s="1100"/>
      <c r="E43" s="1100"/>
      <c r="F43" s="1104"/>
      <c r="G43" s="1104">
        <v>0.9257908802751248</v>
      </c>
      <c r="H43" s="1104">
        <v>0.9124772727272727</v>
      </c>
      <c r="I43" s="1104">
        <v>0.872069962034641</v>
      </c>
      <c r="J43" s="1104">
        <v>0.9095031632969075</v>
      </c>
      <c r="K43" s="1104">
        <v>1.0323455149501661</v>
      </c>
      <c r="L43" s="1104">
        <v>1.0731620813700158</v>
      </c>
      <c r="M43" s="1104">
        <v>1.3024476650563608</v>
      </c>
      <c r="N43" s="1104">
        <v>1.4218099204846648</v>
      </c>
      <c r="O43" s="1104">
        <v>1.1015293365121823</v>
      </c>
      <c r="P43" s="1104">
        <v>1.1182686902754357</v>
      </c>
      <c r="Q43" s="1104">
        <v>0.8935875749654005</v>
      </c>
      <c r="R43" s="1104">
        <v>0.8241195150115473</v>
      </c>
      <c r="S43" s="1104">
        <v>0.8235636764976393</v>
      </c>
      <c r="T43" s="1104">
        <v>0.9913359557834985</v>
      </c>
      <c r="U43" s="1104" t="e">
        <v>#DIV/0!</v>
      </c>
      <c r="V43" s="1104">
        <v>0.8463113501619706</v>
      </c>
      <c r="W43" s="1104">
        <v>0.6625434596502262</v>
      </c>
      <c r="X43" s="1104">
        <v>0.7350943396226415</v>
      </c>
      <c r="Y43" s="1104">
        <v>0.7382378385572635</v>
      </c>
      <c r="Z43" s="1104" t="e">
        <v>#DIV/0!</v>
      </c>
      <c r="AA43" s="1104" t="e">
        <v>#DIV/0!</v>
      </c>
      <c r="AB43" s="1104" t="e">
        <v>#DIV/0!</v>
      </c>
      <c r="AC43" s="1104" t="e">
        <v>#DIV/0!</v>
      </c>
      <c r="AD43" s="1104" t="e">
        <v>#DIV/0!</v>
      </c>
      <c r="AE43" s="1107">
        <v>0.798</v>
      </c>
      <c r="AF43" s="1107">
        <v>0.832</v>
      </c>
      <c r="AG43" s="1107">
        <v>0.686</v>
      </c>
      <c r="AH43" s="1107">
        <v>0.775</v>
      </c>
      <c r="AI43" s="1107">
        <v>0.743</v>
      </c>
      <c r="AJ43" s="1107">
        <v>0.76</v>
      </c>
      <c r="AK43" s="1107">
        <v>0.732</v>
      </c>
      <c r="AL43" s="1006"/>
      <c r="AM43" s="1104">
        <v>0.9021706195080297</v>
      </c>
      <c r="AN43" s="1104">
        <v>1.1247907978807017</v>
      </c>
      <c r="AO43" s="1103">
        <v>-22.2620178372672</v>
      </c>
      <c r="AP43" s="1100"/>
      <c r="AQ43" s="1006"/>
      <c r="AR43" s="1104">
        <v>1.0613282905676371</v>
      </c>
      <c r="AS43" s="1107">
        <v>1.1117177867800618</v>
      </c>
      <c r="AT43" s="1107">
        <v>0.8645816661802502</v>
      </c>
      <c r="AU43" s="1107">
        <v>0.8969875754130433</v>
      </c>
      <c r="AV43" s="1107">
        <v>1.499037355937642</v>
      </c>
      <c r="AW43" s="1107">
        <v>1.0811340705820152</v>
      </c>
      <c r="AX43" s="1107">
        <v>0.6673579936234418</v>
      </c>
      <c r="AY43" s="1108">
        <v>0.7010367515119292</v>
      </c>
      <c r="AZ43" s="1108">
        <v>0.7056896786278634</v>
      </c>
      <c r="BA43" s="1108">
        <v>0.73</v>
      </c>
      <c r="BB43" s="957"/>
      <c r="BD43" s="957"/>
      <c r="BE43" s="957"/>
      <c r="BF43" s="957"/>
      <c r="BG43" s="957"/>
    </row>
    <row r="44" spans="1:59" ht="12.75" customHeight="1">
      <c r="A44" s="1105" t="s">
        <v>87</v>
      </c>
      <c r="B44" s="1105"/>
      <c r="C44" s="1103">
        <v>9.254978684309947</v>
      </c>
      <c r="D44" s="1100"/>
      <c r="E44" s="1100"/>
      <c r="F44" s="1104"/>
      <c r="G44" s="1104">
        <v>0.060204271892933356</v>
      </c>
      <c r="H44" s="1104">
        <v>0.07045454545454545</v>
      </c>
      <c r="I44" s="1104">
        <v>0.11801371286100146</v>
      </c>
      <c r="J44" s="1104">
        <v>0.09049683670309251</v>
      </c>
      <c r="K44" s="1104">
        <v>-0.03234551495016611</v>
      </c>
      <c r="L44" s="1104">
        <v>-0.0731620813700157</v>
      </c>
      <c r="M44" s="1104">
        <v>-0.3024476650563607</v>
      </c>
      <c r="N44" s="1104">
        <v>-0.4218099204846649</v>
      </c>
      <c r="O44" s="1104">
        <v>-0.10152933651218236</v>
      </c>
      <c r="P44" s="1104">
        <v>-0.11826869027543564</v>
      </c>
      <c r="Q44" s="1104">
        <v>0.10641242503459941</v>
      </c>
      <c r="R44" s="1104">
        <v>0.17588048498845266</v>
      </c>
      <c r="S44" s="1104">
        <v>0.17643632350236066</v>
      </c>
      <c r="T44" s="1104">
        <v>0.008664044216501519</v>
      </c>
      <c r="U44" s="1104" t="e">
        <v>#DIV/0!</v>
      </c>
      <c r="V44" s="1104">
        <v>0.09999388790416233</v>
      </c>
      <c r="W44" s="1104">
        <v>0.3115467267676503</v>
      </c>
      <c r="X44" s="1104">
        <v>0.2130566037735849</v>
      </c>
      <c r="Y44" s="1104">
        <v>0.21321621082052306</v>
      </c>
      <c r="Z44" s="1104" t="e">
        <v>#DIV/0!</v>
      </c>
      <c r="AA44" s="1104" t="e">
        <v>#DIV/0!</v>
      </c>
      <c r="AB44" s="1104" t="e">
        <v>#DIV/0!</v>
      </c>
      <c r="AC44" s="1104" t="e">
        <v>#DIV/0!</v>
      </c>
      <c r="AD44" s="1104" t="e">
        <v>#DIV/0!</v>
      </c>
      <c r="AE44" s="1109" t="s">
        <v>214</v>
      </c>
      <c r="AF44" s="1109" t="s">
        <v>214</v>
      </c>
      <c r="AG44" s="1100"/>
      <c r="AH44" s="1100"/>
      <c r="AI44" s="1100"/>
      <c r="AJ44" s="1100"/>
      <c r="AK44" s="1100"/>
      <c r="AL44" s="1054"/>
      <c r="AM44" s="1104">
        <v>0.08438696526457869</v>
      </c>
      <c r="AN44" s="1104">
        <v>-0.12479079788070162</v>
      </c>
      <c r="AO44" s="1103">
        <v>20.91777631452803</v>
      </c>
      <c r="AP44" s="1100"/>
      <c r="AQ44" s="1054"/>
      <c r="AR44" s="1104">
        <v>-0.06132829056763718</v>
      </c>
      <c r="AS44" s="1107">
        <v>-0.1117177867800619</v>
      </c>
      <c r="AT44" s="1107">
        <v>0.13541833381974977</v>
      </c>
      <c r="AU44" s="1107">
        <v>0.10301242458695674</v>
      </c>
      <c r="AV44" s="1107">
        <v>-0.49903735593764204</v>
      </c>
      <c r="AW44" s="1107">
        <v>-0.08113407058201524</v>
      </c>
      <c r="AX44" s="1107">
        <v>0.33264200637655816</v>
      </c>
      <c r="AY44" s="1108">
        <v>0.2989632484880707</v>
      </c>
      <c r="AZ44" s="1108">
        <v>0.2943103213721366</v>
      </c>
      <c r="BA44" s="1108"/>
      <c r="BB44" s="957"/>
      <c r="BD44" s="957"/>
      <c r="BE44" s="957"/>
      <c r="BF44" s="957"/>
      <c r="BG44" s="957"/>
    </row>
    <row r="45" spans="1:59" ht="12.75" customHeight="1">
      <c r="A45" s="1106"/>
      <c r="B45" s="1106"/>
      <c r="C45" s="1103"/>
      <c r="D45" s="1100"/>
      <c r="E45" s="1100"/>
      <c r="F45" s="1100"/>
      <c r="G45" s="1100"/>
      <c r="H45" s="1100"/>
      <c r="I45" s="1100"/>
      <c r="J45" s="1100"/>
      <c r="K45" s="1100"/>
      <c r="L45" s="1100"/>
      <c r="M45" s="1100"/>
      <c r="N45" s="1100"/>
      <c r="O45" s="1100"/>
      <c r="P45" s="1100"/>
      <c r="Q45" s="1100"/>
      <c r="R45" s="1100"/>
      <c r="S45" s="1100"/>
      <c r="T45" s="1100"/>
      <c r="U45" s="1100"/>
      <c r="V45" s="1100"/>
      <c r="W45" s="1100"/>
      <c r="X45" s="1100"/>
      <c r="Y45" s="1100"/>
      <c r="Z45" s="1100"/>
      <c r="AA45" s="1100"/>
      <c r="AB45" s="1100"/>
      <c r="AC45" s="1104"/>
      <c r="AD45" s="1104"/>
      <c r="AE45" s="1010"/>
      <c r="AF45" s="1010"/>
      <c r="AG45" s="1010"/>
      <c r="AH45" s="1104"/>
      <c r="AI45" s="1104"/>
      <c r="AJ45" s="1104"/>
      <c r="AK45" s="1104"/>
      <c r="AL45" s="1006"/>
      <c r="AM45" s="1006"/>
      <c r="AN45" s="1006"/>
      <c r="AO45" s="1024"/>
      <c r="AP45" s="1100"/>
      <c r="AQ45" s="1006"/>
      <c r="AR45" s="1107"/>
      <c r="AS45" s="1107"/>
      <c r="AT45" s="1107"/>
      <c r="AU45" s="1107"/>
      <c r="AV45" s="1107"/>
      <c r="AW45" s="1107"/>
      <c r="AX45" s="1110"/>
      <c r="AY45" s="1111"/>
      <c r="AZ45" s="1111"/>
      <c r="BA45" s="1111"/>
      <c r="BB45" s="957"/>
      <c r="BD45" s="957"/>
      <c r="BE45" s="957"/>
      <c r="BF45" s="957"/>
      <c r="BG45" s="957"/>
    </row>
    <row r="46" spans="1:59" ht="12.75" customHeight="1">
      <c r="A46" s="966"/>
      <c r="B46" s="966"/>
      <c r="C46" s="1006"/>
      <c r="D46" s="1006"/>
      <c r="E46" s="1006"/>
      <c r="F46" s="1006"/>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c r="AE46" s="1006"/>
      <c r="AF46" s="1006"/>
      <c r="AG46" s="1006"/>
      <c r="AH46" s="1006"/>
      <c r="AI46" s="1006"/>
      <c r="AJ46" s="1006"/>
      <c r="AK46" s="1006"/>
      <c r="AL46" s="1006"/>
      <c r="AM46" s="1006"/>
      <c r="AN46" s="1006"/>
      <c r="AO46" s="1112"/>
      <c r="AP46" s="1112"/>
      <c r="AQ46" s="1006"/>
      <c r="AR46" s="1006"/>
      <c r="AS46" s="1006"/>
      <c r="AT46" s="1006"/>
      <c r="AU46" s="1006"/>
      <c r="AV46" s="1006"/>
      <c r="AW46" s="1006"/>
      <c r="AX46" s="1006"/>
      <c r="AY46" s="1113"/>
      <c r="AZ46" s="1113"/>
      <c r="BA46" s="1113"/>
      <c r="BB46" s="957"/>
      <c r="BD46" s="957"/>
      <c r="BE46" s="957"/>
      <c r="BF46" s="957"/>
      <c r="BG46" s="957"/>
    </row>
    <row r="47" spans="1:59" ht="12.75" customHeight="1">
      <c r="A47" s="1106" t="s">
        <v>100</v>
      </c>
      <c r="B47" s="1106"/>
      <c r="C47" s="621">
        <v>20</v>
      </c>
      <c r="D47" s="1100">
        <v>0.07722007722007722</v>
      </c>
      <c r="E47" s="1100"/>
      <c r="F47" s="1100"/>
      <c r="G47" s="621">
        <v>279</v>
      </c>
      <c r="H47" s="621">
        <v>275</v>
      </c>
      <c r="I47" s="621">
        <v>264</v>
      </c>
      <c r="J47" s="621">
        <v>253</v>
      </c>
      <c r="K47" s="621">
        <v>259</v>
      </c>
      <c r="L47" s="621">
        <v>252</v>
      </c>
      <c r="M47" s="621">
        <v>304</v>
      </c>
      <c r="N47" s="621">
        <v>302</v>
      </c>
      <c r="O47" s="621">
        <v>176</v>
      </c>
      <c r="P47" s="621">
        <v>186</v>
      </c>
      <c r="Q47" s="621"/>
      <c r="R47" s="621"/>
      <c r="S47" s="621"/>
      <c r="T47" s="621"/>
      <c r="U47" s="621"/>
      <c r="V47" s="621"/>
      <c r="W47" s="621"/>
      <c r="X47" s="621"/>
      <c r="Y47" s="621"/>
      <c r="Z47" s="621"/>
      <c r="AA47" s="621"/>
      <c r="AB47" s="621"/>
      <c r="AC47" s="610"/>
      <c r="AD47" s="610"/>
      <c r="AE47" s="741"/>
      <c r="AF47" s="741"/>
      <c r="AG47" s="741"/>
      <c r="AH47" s="610"/>
      <c r="AI47" s="610"/>
      <c r="AJ47" s="610"/>
      <c r="AK47" s="610"/>
      <c r="AL47" s="610"/>
      <c r="AM47" s="610">
        <v>279</v>
      </c>
      <c r="AN47" s="610">
        <v>259</v>
      </c>
      <c r="AO47" s="1024">
        <v>20</v>
      </c>
      <c r="AP47" s="1100">
        <v>0.07722007722007722</v>
      </c>
      <c r="AQ47" s="1006"/>
      <c r="AR47" s="488">
        <v>253</v>
      </c>
      <c r="AS47" s="488">
        <v>302</v>
      </c>
      <c r="AT47" s="488">
        <v>175</v>
      </c>
      <c r="AU47" s="488">
        <v>163</v>
      </c>
      <c r="AV47" s="488">
        <v>151</v>
      </c>
      <c r="AW47" s="1107"/>
      <c r="AX47" s="1110"/>
      <c r="AY47" s="1111"/>
      <c r="AZ47" s="1111"/>
      <c r="BA47" s="1111"/>
      <c r="BB47" s="957"/>
      <c r="BD47" s="957"/>
      <c r="BE47" s="957"/>
      <c r="BF47" s="957"/>
      <c r="BG47" s="957"/>
    </row>
    <row r="48" spans="1:59" ht="12.75" customHeight="1">
      <c r="A48" s="1106"/>
      <c r="B48" s="1106"/>
      <c r="C48" s="1103"/>
      <c r="D48" s="1100"/>
      <c r="E48" s="1100"/>
      <c r="F48" s="1100"/>
      <c r="G48" s="1100"/>
      <c r="H48" s="1100"/>
      <c r="I48" s="621"/>
      <c r="J48" s="621"/>
      <c r="K48" s="621"/>
      <c r="L48" s="621"/>
      <c r="M48" s="621"/>
      <c r="N48" s="621"/>
      <c r="O48" s="621"/>
      <c r="P48" s="621"/>
      <c r="Q48" s="621"/>
      <c r="R48" s="621"/>
      <c r="S48" s="621"/>
      <c r="T48" s="621"/>
      <c r="U48" s="621"/>
      <c r="V48" s="621"/>
      <c r="W48" s="621"/>
      <c r="X48" s="621"/>
      <c r="Y48" s="621"/>
      <c r="Z48" s="621"/>
      <c r="AA48" s="621"/>
      <c r="AB48" s="621"/>
      <c r="AC48" s="610"/>
      <c r="AD48" s="610"/>
      <c r="AE48" s="741"/>
      <c r="AF48" s="741"/>
      <c r="AG48" s="741"/>
      <c r="AH48" s="610"/>
      <c r="AI48" s="610"/>
      <c r="AJ48" s="610"/>
      <c r="AK48" s="610"/>
      <c r="AL48" s="610"/>
      <c r="AM48" s="610"/>
      <c r="AN48" s="610"/>
      <c r="AO48" s="1024"/>
      <c r="AP48" s="1100"/>
      <c r="AQ48" s="1006"/>
      <c r="AR48" s="488"/>
      <c r="AS48" s="488"/>
      <c r="AT48" s="488"/>
      <c r="AU48" s="488"/>
      <c r="AV48" s="488"/>
      <c r="AW48" s="1107"/>
      <c r="AX48" s="1110"/>
      <c r="AY48" s="1111"/>
      <c r="AZ48" s="1111"/>
      <c r="BA48" s="1111"/>
      <c r="BB48" s="957"/>
      <c r="BD48" s="957"/>
      <c r="BE48" s="957"/>
      <c r="BF48" s="957"/>
      <c r="BG48" s="957"/>
    </row>
    <row r="49" spans="1:59" ht="18" customHeight="1">
      <c r="A49" s="1114" t="s">
        <v>324</v>
      </c>
      <c r="B49" s="966"/>
      <c r="C49" s="1010"/>
      <c r="D49" s="1010"/>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6"/>
      <c r="AE49" s="1006"/>
      <c r="AF49" s="1010"/>
      <c r="AG49" s="1010"/>
      <c r="AH49" s="1010"/>
      <c r="AI49" s="1010"/>
      <c r="AJ49" s="1010"/>
      <c r="AK49" s="1010"/>
      <c r="AL49" s="1010"/>
      <c r="AM49" s="1010"/>
      <c r="AN49" s="1010"/>
      <c r="AO49" s="1112"/>
      <c r="AP49" s="1112"/>
      <c r="AQ49" s="1010"/>
      <c r="AR49" s="1010"/>
      <c r="AS49" s="1010"/>
      <c r="AT49" s="1010"/>
      <c r="AU49" s="1010"/>
      <c r="AV49" s="1010"/>
      <c r="AW49" s="1010"/>
      <c r="AX49" s="1010"/>
      <c r="AY49" s="1115"/>
      <c r="AZ49" s="1115"/>
      <c r="BA49" s="1115"/>
      <c r="BB49" s="957"/>
      <c r="BD49" s="957"/>
      <c r="BE49" s="957"/>
      <c r="BF49" s="957"/>
      <c r="BG49" s="957"/>
    </row>
    <row r="50" spans="1:59" ht="12.75" customHeight="1">
      <c r="A50" s="1116"/>
      <c r="B50" s="966"/>
      <c r="C50" s="1010"/>
      <c r="D50" s="1010"/>
      <c r="E50" s="1006"/>
      <c r="F50" s="1006"/>
      <c r="G50" s="1006"/>
      <c r="H50" s="1117"/>
      <c r="I50" s="1006"/>
      <c r="J50" s="1006"/>
      <c r="K50" s="1006"/>
      <c r="L50" s="1117"/>
      <c r="M50" s="1006"/>
      <c r="N50" s="1006"/>
      <c r="O50" s="1006"/>
      <c r="P50" s="1117"/>
      <c r="Q50" s="1006"/>
      <c r="R50" s="1117"/>
      <c r="S50" s="1006"/>
      <c r="T50" s="1117"/>
      <c r="U50" s="1006"/>
      <c r="V50" s="1117"/>
      <c r="W50" s="1006"/>
      <c r="X50" s="1117"/>
      <c r="Y50" s="1006"/>
      <c r="Z50" s="1117"/>
      <c r="AA50" s="1006"/>
      <c r="AB50" s="1006"/>
      <c r="AC50" s="1006"/>
      <c r="AD50" s="1006"/>
      <c r="AE50" s="1006"/>
      <c r="AF50" s="1010"/>
      <c r="AG50" s="1010"/>
      <c r="AH50" s="1010"/>
      <c r="AI50" s="1010"/>
      <c r="AJ50" s="1010"/>
      <c r="AK50" s="1010"/>
      <c r="AL50" s="1010"/>
      <c r="AM50" s="1010"/>
      <c r="AN50" s="1010"/>
      <c r="AO50" s="1112"/>
      <c r="AP50" s="1112"/>
      <c r="AQ50" s="1010"/>
      <c r="AR50" s="1010"/>
      <c r="AS50" s="1010"/>
      <c r="AT50" s="1010"/>
      <c r="AU50" s="1010"/>
      <c r="AV50" s="1010"/>
      <c r="AW50" s="1010"/>
      <c r="AX50" s="1010"/>
      <c r="AY50" s="1115"/>
      <c r="AZ50" s="1115"/>
      <c r="BA50" s="1115"/>
      <c r="BB50" s="957"/>
      <c r="BD50" s="957"/>
      <c r="BE50" s="957"/>
      <c r="BF50" s="957"/>
      <c r="BG50" s="957"/>
    </row>
    <row r="51" spans="1:59" ht="12.75" customHeight="1">
      <c r="A51" s="965"/>
      <c r="B51" s="966"/>
      <c r="C51" s="1457" t="s">
        <v>497</v>
      </c>
      <c r="D51" s="1458"/>
      <c r="E51" s="967"/>
      <c r="F51" s="968"/>
      <c r="G51" s="968"/>
      <c r="H51" s="1007"/>
      <c r="I51" s="1222"/>
      <c r="J51" s="1007"/>
      <c r="K51" s="1007"/>
      <c r="L51" s="1007"/>
      <c r="M51" s="1222"/>
      <c r="N51" s="1007"/>
      <c r="O51" s="1007"/>
      <c r="P51" s="1007"/>
      <c r="Q51" s="1007"/>
      <c r="R51" s="1118"/>
      <c r="S51" s="1007"/>
      <c r="T51" s="1007"/>
      <c r="U51" s="1007"/>
      <c r="V51" s="1118"/>
      <c r="W51" s="1007"/>
      <c r="X51" s="1007"/>
      <c r="Y51" s="1007"/>
      <c r="Z51" s="1118"/>
      <c r="AA51" s="1007"/>
      <c r="AB51" s="1222"/>
      <c r="AC51" s="1222"/>
      <c r="AD51" s="1222"/>
      <c r="AE51" s="1006"/>
      <c r="AF51" s="1006"/>
      <c r="AG51" s="966"/>
      <c r="AH51" s="1006"/>
      <c r="AI51" s="966"/>
      <c r="AJ51" s="966"/>
      <c r="AK51" s="1006"/>
      <c r="AL51" s="1005"/>
      <c r="AM51" s="725" t="s">
        <v>406</v>
      </c>
      <c r="AN51" s="711"/>
      <c r="AO51" s="711" t="s">
        <v>480</v>
      </c>
      <c r="AP51" s="712"/>
      <c r="AQ51" s="972"/>
      <c r="AR51" s="973"/>
      <c r="AS51" s="973"/>
      <c r="AT51" s="973"/>
      <c r="AU51" s="973"/>
      <c r="AV51" s="973"/>
      <c r="AW51" s="1119"/>
      <c r="AX51" s="1119"/>
      <c r="AY51" s="973"/>
      <c r="AZ51" s="973"/>
      <c r="BA51" s="973"/>
      <c r="BB51" s="976"/>
      <c r="BD51" s="957"/>
      <c r="BE51" s="957"/>
      <c r="BF51" s="957"/>
      <c r="BG51" s="957"/>
    </row>
    <row r="52" spans="1:59" ht="12.75" customHeight="1">
      <c r="A52" s="965" t="s">
        <v>107</v>
      </c>
      <c r="B52" s="966"/>
      <c r="C52" s="1447" t="s">
        <v>41</v>
      </c>
      <c r="D52" s="1448"/>
      <c r="E52" s="977"/>
      <c r="F52" s="978"/>
      <c r="G52" s="978" t="s">
        <v>430</v>
      </c>
      <c r="H52" s="978" t="s">
        <v>429</v>
      </c>
      <c r="I52" s="979" t="s">
        <v>427</v>
      </c>
      <c r="J52" s="978" t="s">
        <v>362</v>
      </c>
      <c r="K52" s="978" t="s">
        <v>363</v>
      </c>
      <c r="L52" s="978" t="s">
        <v>364</v>
      </c>
      <c r="M52" s="979" t="s">
        <v>365</v>
      </c>
      <c r="N52" s="978" t="s">
        <v>277</v>
      </c>
      <c r="O52" s="978" t="s">
        <v>278</v>
      </c>
      <c r="P52" s="978" t="s">
        <v>279</v>
      </c>
      <c r="Q52" s="979" t="s">
        <v>276</v>
      </c>
      <c r="R52" s="980" t="s">
        <v>222</v>
      </c>
      <c r="S52" s="978" t="s">
        <v>223</v>
      </c>
      <c r="T52" s="978" t="s">
        <v>224</v>
      </c>
      <c r="U52" s="978">
        <v>0</v>
      </c>
      <c r="V52" s="980" t="s">
        <v>141</v>
      </c>
      <c r="W52" s="978" t="s">
        <v>140</v>
      </c>
      <c r="X52" s="978" t="s">
        <v>139</v>
      </c>
      <c r="Y52" s="978" t="s">
        <v>138</v>
      </c>
      <c r="Z52" s="980" t="s">
        <v>91</v>
      </c>
      <c r="AA52" s="978" t="s">
        <v>92</v>
      </c>
      <c r="AB52" s="979" t="s">
        <v>93</v>
      </c>
      <c r="AC52" s="979" t="s">
        <v>32</v>
      </c>
      <c r="AD52" s="979" t="s">
        <v>32</v>
      </c>
      <c r="AE52" s="1006"/>
      <c r="AF52" s="1006"/>
      <c r="AG52" s="966"/>
      <c r="AH52" s="1006"/>
      <c r="AI52" s="966"/>
      <c r="AJ52" s="966"/>
      <c r="AK52" s="1006"/>
      <c r="AL52" s="1005"/>
      <c r="AM52" s="21" t="s">
        <v>430</v>
      </c>
      <c r="AN52" s="21" t="s">
        <v>363</v>
      </c>
      <c r="AO52" s="1454" t="s">
        <v>41</v>
      </c>
      <c r="AP52" s="1440"/>
      <c r="AQ52" s="1120"/>
      <c r="AR52" s="980" t="s">
        <v>367</v>
      </c>
      <c r="AS52" s="980" t="s">
        <v>285</v>
      </c>
      <c r="AT52" s="980" t="s">
        <v>143</v>
      </c>
      <c r="AU52" s="980" t="s">
        <v>142</v>
      </c>
      <c r="AV52" s="980" t="s">
        <v>45</v>
      </c>
      <c r="AW52" s="982" t="s">
        <v>42</v>
      </c>
      <c r="AX52" s="982" t="s">
        <v>43</v>
      </c>
      <c r="AY52" s="982" t="s">
        <v>165</v>
      </c>
      <c r="AZ52" s="982" t="s">
        <v>166</v>
      </c>
      <c r="BA52" s="982" t="s">
        <v>167</v>
      </c>
      <c r="BB52" s="976"/>
      <c r="BD52" s="957"/>
      <c r="BE52" s="957"/>
      <c r="BF52" s="957"/>
      <c r="BG52" s="957"/>
    </row>
    <row r="53" spans="1:59" ht="12.75" customHeight="1">
      <c r="A53" s="1121"/>
      <c r="B53" s="1006" t="s">
        <v>4</v>
      </c>
      <c r="C53" s="1122">
        <v>10644</v>
      </c>
      <c r="D53" s="1014">
        <v>0.2828970099667774</v>
      </c>
      <c r="E53" s="1005"/>
      <c r="F53" s="1124"/>
      <c r="G53" s="1124">
        <v>48269</v>
      </c>
      <c r="H53" s="1124">
        <v>44000</v>
      </c>
      <c r="I53" s="1147">
        <v>52943</v>
      </c>
      <c r="J53" s="1124">
        <v>45206</v>
      </c>
      <c r="K53" s="1124">
        <v>37625</v>
      </c>
      <c r="L53" s="1124">
        <v>39474</v>
      </c>
      <c r="M53" s="1147">
        <v>31050</v>
      </c>
      <c r="N53" s="1124">
        <v>18487</v>
      </c>
      <c r="O53" s="1124">
        <v>17197</v>
      </c>
      <c r="P53" s="1124">
        <v>17790</v>
      </c>
      <c r="Q53" s="1125">
        <v>26012</v>
      </c>
      <c r="R53" s="1124">
        <v>27712</v>
      </c>
      <c r="S53" s="1126">
        <v>32618</v>
      </c>
      <c r="T53" s="1124">
        <v>20083</v>
      </c>
      <c r="U53" s="1125">
        <v>0</v>
      </c>
      <c r="V53" s="1124">
        <v>32806</v>
      </c>
      <c r="W53" s="1126">
        <v>58040</v>
      </c>
      <c r="X53" s="1124">
        <v>27314</v>
      </c>
      <c r="Y53" s="1125">
        <v>30054</v>
      </c>
      <c r="Z53" s="1126">
        <v>25033</v>
      </c>
      <c r="AA53" s="1126">
        <v>12639</v>
      </c>
      <c r="AB53" s="1124">
        <v>23461</v>
      </c>
      <c r="AC53" s="1125">
        <v>34352</v>
      </c>
      <c r="AD53" s="1036">
        <v>31944</v>
      </c>
      <c r="AE53" s="1036">
        <v>42952</v>
      </c>
      <c r="AF53" s="1036">
        <v>39210</v>
      </c>
      <c r="AG53" s="1036">
        <v>62549</v>
      </c>
      <c r="AH53" s="1079">
        <v>57382</v>
      </c>
      <c r="AI53" s="1017">
        <v>48897</v>
      </c>
      <c r="AJ53" s="1017">
        <v>38533</v>
      </c>
      <c r="AK53" s="1035">
        <v>42750</v>
      </c>
      <c r="AL53" s="1005"/>
      <c r="AM53" s="1019">
        <v>145212</v>
      </c>
      <c r="AN53" s="1019">
        <v>108149</v>
      </c>
      <c r="AO53" s="1080">
        <v>37063</v>
      </c>
      <c r="AP53" s="1014">
        <v>0.3427031225438978</v>
      </c>
      <c r="AQ53" s="1010"/>
      <c r="AR53" s="1128">
        <v>153355</v>
      </c>
      <c r="AS53" s="1128">
        <v>79486</v>
      </c>
      <c r="AT53" s="1128">
        <v>106219</v>
      </c>
      <c r="AU53" s="1128">
        <v>97629</v>
      </c>
      <c r="AV53" s="1128">
        <v>74794</v>
      </c>
      <c r="AW53" s="1128">
        <v>90788</v>
      </c>
      <c r="AX53" s="1129">
        <v>187562</v>
      </c>
      <c r="AY53" s="1083">
        <v>150470</v>
      </c>
      <c r="AZ53" s="1083">
        <v>95559</v>
      </c>
      <c r="BA53" s="1083">
        <v>211758</v>
      </c>
      <c r="BB53" s="976"/>
      <c r="BD53" s="957"/>
      <c r="BE53" s="957"/>
      <c r="BF53" s="957"/>
      <c r="BG53" s="957"/>
    </row>
    <row r="54" spans="1:59" ht="12.75" customHeight="1">
      <c r="A54" s="1010"/>
      <c r="B54" s="1006" t="s">
        <v>90</v>
      </c>
      <c r="C54" s="1122">
        <v>8831</v>
      </c>
      <c r="D54" s="1123">
        <v>0.2462975875052294</v>
      </c>
      <c r="E54" s="1130"/>
      <c r="F54" s="1124"/>
      <c r="G54" s="1124">
        <v>44686</v>
      </c>
      <c r="H54" s="1124">
        <v>40148</v>
      </c>
      <c r="I54" s="1125">
        <v>46169</v>
      </c>
      <c r="J54" s="1124">
        <v>41114</v>
      </c>
      <c r="K54" s="1124">
        <v>35855</v>
      </c>
      <c r="L54" s="1124">
        <v>38539</v>
      </c>
      <c r="M54" s="1125">
        <v>40439</v>
      </c>
      <c r="N54" s="1124">
        <v>23089</v>
      </c>
      <c r="O54" s="1124">
        <v>18535</v>
      </c>
      <c r="P54" s="1124">
        <v>19894</v>
      </c>
      <c r="Q54" s="1125">
        <v>23244</v>
      </c>
      <c r="R54" s="1124">
        <v>22838</v>
      </c>
      <c r="S54" s="1124">
        <v>26863</v>
      </c>
      <c r="T54" s="1124">
        <v>19909</v>
      </c>
      <c r="U54" s="1125" t="e">
        <v>#REF!</v>
      </c>
      <c r="V54" s="1124">
        <v>22693</v>
      </c>
      <c r="W54" s="1124">
        <v>37922</v>
      </c>
      <c r="X54" s="1124">
        <v>19480</v>
      </c>
      <c r="Y54" s="1125">
        <v>22187</v>
      </c>
      <c r="Z54" s="1124">
        <v>0</v>
      </c>
      <c r="AA54" s="1124">
        <v>0</v>
      </c>
      <c r="AB54" s="1124">
        <v>0</v>
      </c>
      <c r="AC54" s="1125">
        <v>0</v>
      </c>
      <c r="AD54" s="1036">
        <v>0</v>
      </c>
      <c r="AE54" s="1036">
        <v>86348</v>
      </c>
      <c r="AF54" s="1036">
        <v>72982</v>
      </c>
      <c r="AG54" s="1036">
        <v>106349</v>
      </c>
      <c r="AH54" s="1037">
        <v>100905</v>
      </c>
      <c r="AI54" s="1017">
        <v>75317</v>
      </c>
      <c r="AJ54" s="1017">
        <v>70703</v>
      </c>
      <c r="AK54" s="1017">
        <v>91522</v>
      </c>
      <c r="AL54" s="1005"/>
      <c r="AM54" s="1064">
        <v>131003</v>
      </c>
      <c r="AN54" s="1019">
        <v>114833</v>
      </c>
      <c r="AO54" s="1131">
        <v>16170</v>
      </c>
      <c r="AP54" s="1132">
        <v>0.14081318088006062</v>
      </c>
      <c r="AQ54" s="1010"/>
      <c r="AR54" s="1128">
        <v>155947</v>
      </c>
      <c r="AS54" s="1128">
        <v>84762</v>
      </c>
      <c r="AT54" s="1128">
        <v>91835</v>
      </c>
      <c r="AU54" s="1128">
        <v>87572</v>
      </c>
      <c r="AV54" s="1228">
        <v>84553</v>
      </c>
      <c r="AW54" s="1128">
        <v>98154</v>
      </c>
      <c r="AX54" s="1133">
        <v>125171</v>
      </c>
      <c r="AY54" s="1039">
        <v>105485</v>
      </c>
      <c r="AZ54" s="1039">
        <v>67435</v>
      </c>
      <c r="BA54" s="1039">
        <v>154490</v>
      </c>
      <c r="BB54" s="976"/>
      <c r="BD54" s="957"/>
      <c r="BE54" s="957"/>
      <c r="BF54" s="957"/>
      <c r="BG54" s="957"/>
    </row>
    <row r="55" spans="1:59" ht="24.75" customHeight="1">
      <c r="A55" s="1010"/>
      <c r="B55" s="1091" t="s">
        <v>216</v>
      </c>
      <c r="C55" s="1122">
        <v>1813</v>
      </c>
      <c r="D55" s="1224">
        <v>1.0242937853107346</v>
      </c>
      <c r="E55" s="1130"/>
      <c r="F55" s="1124"/>
      <c r="G55" s="1124">
        <v>3583</v>
      </c>
      <c r="H55" s="1124">
        <v>3852</v>
      </c>
      <c r="I55" s="1125">
        <v>6774</v>
      </c>
      <c r="J55" s="1124">
        <v>4092</v>
      </c>
      <c r="K55" s="1124">
        <v>1770</v>
      </c>
      <c r="L55" s="1124">
        <v>935</v>
      </c>
      <c r="M55" s="855">
        <v>-9389</v>
      </c>
      <c r="N55" s="488">
        <v>-4602</v>
      </c>
      <c r="O55" s="488">
        <v>-1338</v>
      </c>
      <c r="P55" s="488">
        <v>-2104</v>
      </c>
      <c r="Q55" s="855">
        <v>2768</v>
      </c>
      <c r="R55" s="488">
        <v>4874</v>
      </c>
      <c r="S55" s="488">
        <v>5755</v>
      </c>
      <c r="T55" s="488">
        <v>174</v>
      </c>
      <c r="U55" s="855" t="e">
        <v>#REF!</v>
      </c>
      <c r="V55" s="488">
        <v>10113</v>
      </c>
      <c r="W55" s="488">
        <v>20118</v>
      </c>
      <c r="X55" s="488">
        <v>7834</v>
      </c>
      <c r="Y55" s="855">
        <v>7867</v>
      </c>
      <c r="Z55" s="488">
        <v>25033</v>
      </c>
      <c r="AA55" s="488">
        <v>12639</v>
      </c>
      <c r="AB55" s="488">
        <v>23461</v>
      </c>
      <c r="AC55" s="855">
        <v>34352</v>
      </c>
      <c r="AD55" s="488">
        <v>31944</v>
      </c>
      <c r="AE55" s="488">
        <v>23235</v>
      </c>
      <c r="AF55" s="488">
        <v>16089</v>
      </c>
      <c r="AG55" s="488">
        <v>48674</v>
      </c>
      <c r="AH55" s="1355">
        <v>29246</v>
      </c>
      <c r="AI55" s="762">
        <v>26110</v>
      </c>
      <c r="AJ55" s="762">
        <v>22330</v>
      </c>
      <c r="AK55" s="762">
        <v>33584</v>
      </c>
      <c r="AL55" s="662"/>
      <c r="AM55" s="621">
        <v>14209</v>
      </c>
      <c r="AN55" s="621">
        <v>-6684</v>
      </c>
      <c r="AO55" s="661">
        <v>20893</v>
      </c>
      <c r="AP55" s="1224" t="s">
        <v>44</v>
      </c>
      <c r="AQ55" s="1010"/>
      <c r="AR55" s="662">
        <v>-2592</v>
      </c>
      <c r="AS55" s="662">
        <v>-5276</v>
      </c>
      <c r="AT55" s="662">
        <v>14384</v>
      </c>
      <c r="AU55" s="662">
        <v>10057</v>
      </c>
      <c r="AV55" s="662">
        <v>-9759</v>
      </c>
      <c r="AW55" s="1134">
        <v>-7366</v>
      </c>
      <c r="AX55" s="1135">
        <v>62391</v>
      </c>
      <c r="AY55" s="1136">
        <v>44985</v>
      </c>
      <c r="AZ55" s="1136">
        <v>28124</v>
      </c>
      <c r="BA55" s="1136">
        <v>57268</v>
      </c>
      <c r="BB55" s="976"/>
      <c r="BD55" s="957"/>
      <c r="BE55" s="957"/>
      <c r="BF55" s="957"/>
      <c r="BG55" s="957"/>
    </row>
    <row r="56" spans="1:59" ht="24.75" customHeight="1">
      <c r="A56" s="1010"/>
      <c r="B56" s="1091" t="s">
        <v>457</v>
      </c>
      <c r="C56" s="1137">
        <v>1137</v>
      </c>
      <c r="D56" s="1138">
        <v>0.6423728813559322</v>
      </c>
      <c r="E56" s="1130"/>
      <c r="F56" s="1018"/>
      <c r="G56" s="1018">
        <v>2907</v>
      </c>
      <c r="H56" s="1018">
        <v>3101</v>
      </c>
      <c r="I56" s="1139">
        <v>6249</v>
      </c>
      <c r="J56" s="1018">
        <v>4092</v>
      </c>
      <c r="K56" s="1018">
        <v>1770</v>
      </c>
      <c r="L56" s="1018">
        <v>935</v>
      </c>
      <c r="M56" s="1327">
        <v>-9389</v>
      </c>
      <c r="N56" s="1339">
        <v>-4602</v>
      </c>
      <c r="O56" s="1339">
        <v>-1338</v>
      </c>
      <c r="P56" s="1339">
        <v>-2104</v>
      </c>
      <c r="Q56" s="1327">
        <v>2768</v>
      </c>
      <c r="R56" s="1339"/>
      <c r="S56" s="1339"/>
      <c r="T56" s="1339"/>
      <c r="U56" s="1327"/>
      <c r="V56" s="1339"/>
      <c r="W56" s="1339"/>
      <c r="X56" s="1339"/>
      <c r="Y56" s="1327"/>
      <c r="Z56" s="1339"/>
      <c r="AA56" s="1339"/>
      <c r="AB56" s="1339"/>
      <c r="AC56" s="1327"/>
      <c r="AD56" s="1339"/>
      <c r="AE56" s="1339"/>
      <c r="AF56" s="1339"/>
      <c r="AG56" s="1339"/>
      <c r="AH56" s="1356"/>
      <c r="AI56" s="860"/>
      <c r="AJ56" s="860"/>
      <c r="AK56" s="860"/>
      <c r="AL56" s="662"/>
      <c r="AM56" s="1339">
        <v>12257</v>
      </c>
      <c r="AN56" s="611">
        <v>-6684</v>
      </c>
      <c r="AO56" s="1357">
        <v>18941</v>
      </c>
      <c r="AP56" s="1138">
        <v>2.8337821663674445</v>
      </c>
      <c r="AQ56" s="1010"/>
      <c r="AR56" s="1326">
        <v>-2592</v>
      </c>
      <c r="AS56" s="1326">
        <v>-5276</v>
      </c>
      <c r="AT56" s="1326">
        <v>14384</v>
      </c>
      <c r="AU56" s="1326">
        <v>10057</v>
      </c>
      <c r="AV56" s="1326">
        <v>-9759</v>
      </c>
      <c r="AW56" s="1036"/>
      <c r="AX56" s="1036"/>
      <c r="AY56" s="1050"/>
      <c r="AZ56" s="1050"/>
      <c r="BA56" s="1050"/>
      <c r="BB56" s="957"/>
      <c r="BD56" s="957"/>
      <c r="BE56" s="957"/>
      <c r="BF56" s="957"/>
      <c r="BG56" s="957"/>
    </row>
    <row r="57" spans="1:59" ht="12.75" customHeight="1">
      <c r="A57" s="1010"/>
      <c r="B57" s="1006"/>
      <c r="C57" s="1142"/>
      <c r="D57" s="1110"/>
      <c r="E57" s="1110"/>
      <c r="F57" s="1110"/>
      <c r="G57" s="1110"/>
      <c r="H57" s="966"/>
      <c r="I57" s="1006"/>
      <c r="J57" s="1110"/>
      <c r="K57" s="1110"/>
      <c r="L57" s="966"/>
      <c r="M57" s="1006"/>
      <c r="N57" s="1110"/>
      <c r="O57" s="1110"/>
      <c r="P57" s="966"/>
      <c r="Q57" s="1006"/>
      <c r="R57" s="1110"/>
      <c r="S57" s="1110"/>
      <c r="T57" s="1110"/>
      <c r="U57" s="1006"/>
      <c r="V57" s="1110"/>
      <c r="W57" s="1110"/>
      <c r="X57" s="1110"/>
      <c r="Y57" s="1006"/>
      <c r="Z57" s="1110"/>
      <c r="AA57" s="1110"/>
      <c r="AB57" s="1110"/>
      <c r="AC57" s="1006"/>
      <c r="AD57" s="1010"/>
      <c r="AE57" s="1010"/>
      <c r="AF57" s="1010"/>
      <c r="AG57" s="1010"/>
      <c r="AH57" s="1010"/>
      <c r="AI57" s="1010"/>
      <c r="AJ57" s="1010"/>
      <c r="AK57" s="1010"/>
      <c r="AL57" s="1006"/>
      <c r="AM57" s="1110"/>
      <c r="AN57" s="1110"/>
      <c r="AO57" s="1143"/>
      <c r="AP57" s="1144"/>
      <c r="AQ57" s="1006"/>
      <c r="AR57" s="1006"/>
      <c r="AS57" s="1006"/>
      <c r="AT57" s="1006"/>
      <c r="AU57" s="1006"/>
      <c r="AV57" s="1006"/>
      <c r="AW57" s="1010"/>
      <c r="AX57" s="1010"/>
      <c r="AY57" s="1050"/>
      <c r="AZ57" s="1050"/>
      <c r="BA57" s="1050"/>
      <c r="BB57" s="957"/>
      <c r="BD57" s="957"/>
      <c r="BE57" s="957"/>
      <c r="BF57" s="957"/>
      <c r="BG57" s="957"/>
    </row>
    <row r="58" spans="1:59" ht="12.75" customHeight="1">
      <c r="A58" s="1010"/>
      <c r="B58" s="1105" t="s">
        <v>85</v>
      </c>
      <c r="C58" s="1103">
        <v>-4.7170834489357105</v>
      </c>
      <c r="D58" s="1110"/>
      <c r="E58" s="1110"/>
      <c r="F58" s="1110"/>
      <c r="G58" s="1110">
        <v>0.3474072386003439</v>
      </c>
      <c r="H58" s="1110">
        <v>0.33325</v>
      </c>
      <c r="I58" s="1110">
        <v>0.3304686171920745</v>
      </c>
      <c r="J58" s="1110">
        <v>0.30420740609653585</v>
      </c>
      <c r="K58" s="1110">
        <v>0.394578073089701</v>
      </c>
      <c r="L58" s="1110">
        <v>0.407280741754066</v>
      </c>
      <c r="M58" s="1110">
        <v>0.6072463768115942</v>
      </c>
      <c r="N58" s="1110">
        <v>0.46600313733975224</v>
      </c>
      <c r="O58" s="1110">
        <v>0.4706053381403733</v>
      </c>
      <c r="P58" s="1110">
        <v>0.5132096683530073</v>
      </c>
      <c r="Q58" s="1110">
        <v>0.30881900661233275</v>
      </c>
      <c r="R58" s="1110">
        <v>0.25306726327944573</v>
      </c>
      <c r="S58" s="1110">
        <v>0.24351585014409222</v>
      </c>
      <c r="T58" s="1110">
        <v>0.37499377583030424</v>
      </c>
      <c r="U58" s="1110" t="e">
        <v>#REF!</v>
      </c>
      <c r="V58" s="1110">
        <v>0.1537803312755944</v>
      </c>
      <c r="W58" s="1110">
        <v>0.10480982581197477</v>
      </c>
      <c r="X58" s="1110">
        <v>0.15381132075471698</v>
      </c>
      <c r="Y58" s="1110">
        <v>0.14983030545018966</v>
      </c>
      <c r="Z58" s="1110" t="e">
        <v>#DIV/0!</v>
      </c>
      <c r="AA58" s="1110" t="e">
        <v>#DIV/0!</v>
      </c>
      <c r="AB58" s="1110" t="e">
        <v>#DIV/0!</v>
      </c>
      <c r="AC58" s="1110" t="e">
        <v>#DIV/0!</v>
      </c>
      <c r="AD58" s="1110" t="e">
        <v>#DIV/0!</v>
      </c>
      <c r="AE58" s="1107">
        <v>0.22941514650995137</v>
      </c>
      <c r="AF58" s="1107">
        <v>0.30967430476810637</v>
      </c>
      <c r="AG58" s="1107">
        <v>0.16900000000000004</v>
      </c>
      <c r="AH58" s="1107">
        <v>0.21100000000000008</v>
      </c>
      <c r="AI58" s="1107">
        <v>0.20399999999999996</v>
      </c>
      <c r="AJ58" s="1107">
        <v>0.249</v>
      </c>
      <c r="AK58" s="1107">
        <v>0.17899999999999994</v>
      </c>
      <c r="AL58" s="1006"/>
      <c r="AM58" s="1110">
        <v>0.3369418505357684</v>
      </c>
      <c r="AN58" s="1110">
        <v>0.46027240196395713</v>
      </c>
      <c r="AO58" s="1103">
        <v>-12.333055142818871</v>
      </c>
      <c r="AP58" s="1144"/>
      <c r="AQ58" s="1006"/>
      <c r="AR58" s="1107">
        <v>0.4142675491506635</v>
      </c>
      <c r="AS58" s="1107">
        <v>0.4261253554084996</v>
      </c>
      <c r="AT58" s="1107">
        <v>0.2784341784426515</v>
      </c>
      <c r="AU58" s="1107">
        <v>0.30111954439766875</v>
      </c>
      <c r="AV58" s="1107">
        <v>0.5981094740219803</v>
      </c>
      <c r="AW58" s="1107">
        <v>0.5124575935145614</v>
      </c>
      <c r="AX58" s="1107">
        <v>0.13159381964363784</v>
      </c>
      <c r="AY58" s="1105">
        <v>0.13831328504020735</v>
      </c>
      <c r="AZ58" s="1105">
        <v>0.13580091880408962</v>
      </c>
      <c r="BA58" s="1105">
        <v>0.10299999999999998</v>
      </c>
      <c r="BB58" s="957"/>
      <c r="BD58" s="957"/>
      <c r="BE58" s="957"/>
      <c r="BF58" s="957"/>
      <c r="BG58" s="957"/>
    </row>
    <row r="59" spans="1:59" ht="12.75" customHeight="1">
      <c r="A59" s="1010"/>
      <c r="B59" s="1105" t="s">
        <v>86</v>
      </c>
      <c r="C59" s="1103">
        <v>-2.7186647586625035</v>
      </c>
      <c r="D59" s="1110"/>
      <c r="E59" s="1110"/>
      <c r="F59" s="1110"/>
      <c r="G59" s="1110">
        <v>0.9257701630446042</v>
      </c>
      <c r="H59" s="1110">
        <v>0.9124545454545454</v>
      </c>
      <c r="I59" s="1110">
        <v>0.872051073796347</v>
      </c>
      <c r="J59" s="1110">
        <v>0.9094810423395124</v>
      </c>
      <c r="K59" s="1110">
        <v>0.9529568106312293</v>
      </c>
      <c r="L59" s="1110">
        <v>0.9763135228251507</v>
      </c>
      <c r="M59" s="1110">
        <v>1.3023832528180355</v>
      </c>
      <c r="N59" s="1110">
        <v>1.2489316817222913</v>
      </c>
      <c r="O59" s="1110">
        <v>1.0778042681863116</v>
      </c>
      <c r="P59" s="1110">
        <v>1.1182686902754357</v>
      </c>
      <c r="Q59" s="1110">
        <v>0.8935875749654005</v>
      </c>
      <c r="R59" s="1110">
        <v>0.8241195150115473</v>
      </c>
      <c r="S59" s="1110">
        <v>0.8235636764976393</v>
      </c>
      <c r="T59" s="1110">
        <v>0.9913359557834985</v>
      </c>
      <c r="U59" s="1110" t="e">
        <v>#REF!</v>
      </c>
      <c r="V59" s="1110">
        <v>0.6935089542204022</v>
      </c>
      <c r="W59" s="1110">
        <v>0.6625434596502262</v>
      </c>
      <c r="X59" s="1110">
        <v>0.7350943396226415</v>
      </c>
      <c r="Y59" s="1110">
        <v>0.7382378385572635</v>
      </c>
      <c r="Z59" s="1110">
        <v>0</v>
      </c>
      <c r="AA59" s="1110">
        <v>0</v>
      </c>
      <c r="AB59" s="1110">
        <v>0</v>
      </c>
      <c r="AC59" s="1110">
        <v>0</v>
      </c>
      <c r="AD59" s="1110">
        <v>0</v>
      </c>
      <c r="AE59" s="1107">
        <v>0.7879689367876405</v>
      </c>
      <c r="AF59" s="1107">
        <v>0.8193688181338483</v>
      </c>
      <c r="AG59" s="1107">
        <v>0.686</v>
      </c>
      <c r="AH59" s="1107">
        <v>0.775</v>
      </c>
      <c r="AI59" s="1107">
        <v>0.743</v>
      </c>
      <c r="AJ59" s="1107">
        <v>0.76</v>
      </c>
      <c r="AK59" s="1107">
        <v>0.732</v>
      </c>
      <c r="AL59" s="1006"/>
      <c r="AM59" s="1110">
        <v>0.9021499600583974</v>
      </c>
      <c r="AN59" s="1110">
        <v>1.0618036227796837</v>
      </c>
      <c r="AO59" s="1103">
        <v>-15.965366272128623</v>
      </c>
      <c r="AP59" s="1144"/>
      <c r="AQ59" s="1006"/>
      <c r="AR59" s="1107">
        <v>1.016901959505722</v>
      </c>
      <c r="AS59" s="1107">
        <v>1.0663764688121178</v>
      </c>
      <c r="AT59" s="1107">
        <v>0.8645816661802502</v>
      </c>
      <c r="AU59" s="1107">
        <v>0.8969875754130433</v>
      </c>
      <c r="AV59" s="1107">
        <v>1.1304783806187662</v>
      </c>
      <c r="AW59" s="1107">
        <v>1.0811340705820152</v>
      </c>
      <c r="AX59" s="1107">
        <v>0.6673579936234418</v>
      </c>
      <c r="AY59" s="1105">
        <v>0.7010367515119292</v>
      </c>
      <c r="AZ59" s="1105">
        <v>0.7056896786278634</v>
      </c>
      <c r="BA59" s="1105">
        <v>0.73</v>
      </c>
      <c r="BB59" s="957"/>
      <c r="BD59" s="957"/>
      <c r="BE59" s="957"/>
      <c r="BF59" s="957"/>
      <c r="BG59" s="957"/>
    </row>
    <row r="60" spans="1:53" ht="12.75" customHeight="1">
      <c r="A60" s="1010"/>
      <c r="B60" s="1105" t="s">
        <v>215</v>
      </c>
      <c r="C60" s="1103">
        <v>2.7186647586625035</v>
      </c>
      <c r="D60" s="1110"/>
      <c r="E60" s="1110"/>
      <c r="F60" s="1110"/>
      <c r="G60" s="1110">
        <v>0.0742298369553958</v>
      </c>
      <c r="H60" s="1110">
        <v>0.08754545454545455</v>
      </c>
      <c r="I60" s="1110">
        <v>0.12794892620365297</v>
      </c>
      <c r="J60" s="1110">
        <v>0.09051895766048755</v>
      </c>
      <c r="K60" s="1110">
        <v>0.04704318936877076</v>
      </c>
      <c r="L60" s="1110">
        <v>0.023686477174849268</v>
      </c>
      <c r="M60" s="1110">
        <v>-0.3023832528180354</v>
      </c>
      <c r="N60" s="1110">
        <v>-0.24893168172229135</v>
      </c>
      <c r="O60" s="1110">
        <v>-0.07780426818631156</v>
      </c>
      <c r="P60" s="1110">
        <v>-0.11826869027543564</v>
      </c>
      <c r="Q60" s="1110">
        <v>0.10641242503459941</v>
      </c>
      <c r="R60" s="1110">
        <v>0.17588048498845266</v>
      </c>
      <c r="S60" s="1110">
        <v>0.17643632350236066</v>
      </c>
      <c r="T60" s="1110">
        <v>0.008664044216501519</v>
      </c>
      <c r="U60" s="1110" t="e">
        <v>#REF!</v>
      </c>
      <c r="V60" s="1110">
        <v>0.30649104577959785</v>
      </c>
      <c r="W60" s="1110">
        <v>0.33745654034977374</v>
      </c>
      <c r="X60" s="1110">
        <v>0.26490566037735847</v>
      </c>
      <c r="Y60" s="1110">
        <v>0.2617621614427364</v>
      </c>
      <c r="Z60" s="1110">
        <v>1</v>
      </c>
      <c r="AA60" s="1110">
        <v>1</v>
      </c>
      <c r="AB60" s="1110">
        <v>1</v>
      </c>
      <c r="AC60" s="1110">
        <v>1</v>
      </c>
      <c r="AD60" s="1110">
        <v>1</v>
      </c>
      <c r="AE60" s="1107">
        <v>0.2120310632123596</v>
      </c>
      <c r="AF60" s="1107">
        <v>0.18063118186615174</v>
      </c>
      <c r="AG60" s="1107">
        <v>0.31399999999999995</v>
      </c>
      <c r="AH60" s="1107">
        <v>0.225</v>
      </c>
      <c r="AI60" s="1107">
        <v>0.257</v>
      </c>
      <c r="AJ60" s="1107">
        <v>0.24</v>
      </c>
      <c r="AK60" s="1107">
        <v>0.268</v>
      </c>
      <c r="AL60" s="1006"/>
      <c r="AM60" s="1110">
        <v>0.09785003994160263</v>
      </c>
      <c r="AN60" s="1110">
        <v>-0.061803622779683584</v>
      </c>
      <c r="AO60" s="1103">
        <v>15.965366272128623</v>
      </c>
      <c r="AP60" s="1144"/>
      <c r="AQ60" s="1006"/>
      <c r="AR60" s="1107">
        <v>-0.016901959505722017</v>
      </c>
      <c r="AS60" s="1107">
        <v>-0.06637646881211785</v>
      </c>
      <c r="AT60" s="1107">
        <v>0.13541833381974977</v>
      </c>
      <c r="AU60" s="1107">
        <v>0.10301242458695674</v>
      </c>
      <c r="AV60" s="1107">
        <v>-0.1304783806187662</v>
      </c>
      <c r="AW60" s="1107">
        <v>-0.08113407058201524</v>
      </c>
      <c r="AX60" s="1107">
        <v>0.33264200637655816</v>
      </c>
      <c r="AY60" s="1105">
        <v>0.2989632484880707</v>
      </c>
      <c r="AZ60" s="1105">
        <v>0.2943103213721366</v>
      </c>
      <c r="BA60" s="1105">
        <v>0.27</v>
      </c>
    </row>
    <row r="61" spans="1:53" ht="12.75" customHeight="1">
      <c r="A61" s="1010"/>
      <c r="B61" s="1105"/>
      <c r="C61" s="1145"/>
      <c r="D61" s="1110"/>
      <c r="E61" s="1110"/>
      <c r="F61" s="1110"/>
      <c r="G61" s="1110"/>
      <c r="H61" s="1110"/>
      <c r="I61" s="1110"/>
      <c r="J61" s="1110"/>
      <c r="K61" s="1110"/>
      <c r="L61" s="1110"/>
      <c r="M61" s="1110"/>
      <c r="N61" s="1110"/>
      <c r="O61" s="1110"/>
      <c r="P61" s="1110"/>
      <c r="Q61" s="1110"/>
      <c r="R61" s="1110"/>
      <c r="S61" s="1110"/>
      <c r="T61" s="1110"/>
      <c r="U61" s="1110"/>
      <c r="V61" s="1110"/>
      <c r="W61" s="1110"/>
      <c r="X61" s="1110"/>
      <c r="Y61" s="1110"/>
      <c r="Z61" s="1110"/>
      <c r="AA61" s="1110"/>
      <c r="AB61" s="1110"/>
      <c r="AC61" s="1110"/>
      <c r="AD61" s="1110"/>
      <c r="AE61" s="1107"/>
      <c r="AF61" s="1107"/>
      <c r="AG61" s="1107"/>
      <c r="AH61" s="1107"/>
      <c r="AI61" s="1107"/>
      <c r="AJ61" s="1107"/>
      <c r="AK61" s="1107"/>
      <c r="AL61" s="1006"/>
      <c r="AM61" s="1110"/>
      <c r="AN61" s="1110"/>
      <c r="AO61" s="1103"/>
      <c r="AP61" s="1144"/>
      <c r="AQ61" s="1006"/>
      <c r="AR61" s="1107"/>
      <c r="AS61" s="1107"/>
      <c r="AT61" s="1107"/>
      <c r="AU61" s="1107"/>
      <c r="AV61" s="1107"/>
      <c r="AW61" s="1107"/>
      <c r="AX61" s="1107"/>
      <c r="AY61" s="1105"/>
      <c r="AZ61" s="1105"/>
      <c r="BA61" s="1105"/>
    </row>
    <row r="62" spans="1:53" ht="12.75" customHeight="1">
      <c r="A62" s="1146" t="s">
        <v>227</v>
      </c>
      <c r="B62" s="1105"/>
      <c r="C62" s="1006"/>
      <c r="D62" s="1006"/>
      <c r="E62" s="1006"/>
      <c r="F62" s="1006"/>
      <c r="G62" s="1006"/>
      <c r="H62" s="1006"/>
      <c r="I62" s="1006"/>
      <c r="J62" s="1006"/>
      <c r="K62" s="1006"/>
      <c r="L62" s="1006"/>
      <c r="M62" s="1006"/>
      <c r="N62" s="1006"/>
      <c r="O62" s="1006"/>
      <c r="P62" s="1006"/>
      <c r="Q62" s="1006"/>
      <c r="R62" s="1006"/>
      <c r="S62" s="1006"/>
      <c r="T62" s="1006"/>
      <c r="U62" s="1006"/>
      <c r="V62" s="1006"/>
      <c r="W62" s="1006"/>
      <c r="X62" s="1006"/>
      <c r="Y62" s="1006"/>
      <c r="Z62" s="1006"/>
      <c r="AA62" s="1006"/>
      <c r="AB62" s="1006"/>
      <c r="AC62" s="1006"/>
      <c r="AD62" s="1006"/>
      <c r="AE62" s="1006"/>
      <c r="AF62" s="1006"/>
      <c r="AG62" s="966"/>
      <c r="AH62" s="1006"/>
      <c r="AI62" s="966"/>
      <c r="AJ62" s="966"/>
      <c r="AK62" s="1006"/>
      <c r="AL62" s="1006"/>
      <c r="AM62" s="1006"/>
      <c r="AN62" s="1006"/>
      <c r="AO62" s="1112"/>
      <c r="AP62" s="1112"/>
      <c r="AQ62" s="1006"/>
      <c r="AR62" s="1006"/>
      <c r="AS62" s="1006"/>
      <c r="AT62" s="1006"/>
      <c r="AU62" s="1006"/>
      <c r="AV62" s="1006"/>
      <c r="AW62" s="1006"/>
      <c r="AX62" s="1006"/>
      <c r="AY62" s="1050"/>
      <c r="AZ62" s="1105"/>
      <c r="BA62" s="1105"/>
    </row>
    <row r="63" spans="3:54" ht="12.75" customHeight="1">
      <c r="C63" s="1457" t="s">
        <v>497</v>
      </c>
      <c r="D63" s="1458"/>
      <c r="E63" s="967"/>
      <c r="F63" s="968"/>
      <c r="G63" s="968"/>
      <c r="H63" s="1007"/>
      <c r="I63" s="1222"/>
      <c r="J63" s="1007"/>
      <c r="K63" s="1007"/>
      <c r="L63" s="1007"/>
      <c r="M63" s="1222"/>
      <c r="N63" s="1007"/>
      <c r="O63" s="1007"/>
      <c r="P63" s="1007"/>
      <c r="Q63" s="1007"/>
      <c r="R63" s="1118"/>
      <c r="S63" s="1007"/>
      <c r="T63" s="1007"/>
      <c r="U63" s="1007"/>
      <c r="V63" s="1118"/>
      <c r="W63" s="1007"/>
      <c r="X63" s="1007"/>
      <c r="Y63" s="1007"/>
      <c r="Z63" s="1118"/>
      <c r="AA63" s="1007"/>
      <c r="AB63" s="1222"/>
      <c r="AC63" s="1222"/>
      <c r="AD63" s="1222"/>
      <c r="AE63" s="1006"/>
      <c r="AF63" s="1006"/>
      <c r="AG63" s="966"/>
      <c r="AH63" s="1006"/>
      <c r="AI63" s="966"/>
      <c r="AJ63" s="966"/>
      <c r="AK63" s="1006"/>
      <c r="AL63" s="1005"/>
      <c r="AM63" s="725" t="s">
        <v>406</v>
      </c>
      <c r="AN63" s="711"/>
      <c r="AO63" s="711" t="s">
        <v>480</v>
      </c>
      <c r="AP63" s="712"/>
      <c r="AQ63" s="1006"/>
      <c r="AR63" s="973"/>
      <c r="AS63" s="973"/>
      <c r="AT63" s="973"/>
      <c r="AU63" s="973"/>
      <c r="AV63" s="973"/>
      <c r="AW63" s="1119"/>
      <c r="AX63" s="1119"/>
      <c r="AY63" s="973"/>
      <c r="AZ63" s="1105"/>
      <c r="BA63" s="1105"/>
      <c r="BB63" s="976"/>
    </row>
    <row r="64" spans="3:54" ht="12.75" customHeight="1">
      <c r="C64" s="1447" t="s">
        <v>41</v>
      </c>
      <c r="D64" s="1448"/>
      <c r="E64" s="977"/>
      <c r="F64" s="978"/>
      <c r="G64" s="978" t="s">
        <v>430</v>
      </c>
      <c r="H64" s="978" t="s">
        <v>429</v>
      </c>
      <c r="I64" s="979" t="s">
        <v>427</v>
      </c>
      <c r="J64" s="978" t="s">
        <v>362</v>
      </c>
      <c r="K64" s="978" t="s">
        <v>363</v>
      </c>
      <c r="L64" s="978" t="s">
        <v>364</v>
      </c>
      <c r="M64" s="979" t="s">
        <v>365</v>
      </c>
      <c r="N64" s="978" t="s">
        <v>277</v>
      </c>
      <c r="O64" s="978" t="s">
        <v>278</v>
      </c>
      <c r="P64" s="978" t="s">
        <v>279</v>
      </c>
      <c r="Q64" s="979" t="s">
        <v>276</v>
      </c>
      <c r="R64" s="980" t="s">
        <v>222</v>
      </c>
      <c r="S64" s="978" t="s">
        <v>223</v>
      </c>
      <c r="T64" s="978" t="s">
        <v>224</v>
      </c>
      <c r="U64" s="978">
        <v>0</v>
      </c>
      <c r="V64" s="980" t="s">
        <v>141</v>
      </c>
      <c r="W64" s="978" t="s">
        <v>140</v>
      </c>
      <c r="X64" s="978" t="s">
        <v>139</v>
      </c>
      <c r="Y64" s="978" t="s">
        <v>138</v>
      </c>
      <c r="Z64" s="980" t="s">
        <v>91</v>
      </c>
      <c r="AA64" s="978" t="s">
        <v>92</v>
      </c>
      <c r="AB64" s="979" t="s">
        <v>93</v>
      </c>
      <c r="AC64" s="979" t="s">
        <v>32</v>
      </c>
      <c r="AD64" s="979" t="s">
        <v>32</v>
      </c>
      <c r="AE64" s="1006"/>
      <c r="AF64" s="1006"/>
      <c r="AG64" s="966"/>
      <c r="AH64" s="1006"/>
      <c r="AI64" s="966"/>
      <c r="AJ64" s="966"/>
      <c r="AK64" s="1006"/>
      <c r="AL64" s="1005"/>
      <c r="AM64" s="21" t="s">
        <v>430</v>
      </c>
      <c r="AN64" s="21" t="s">
        <v>363</v>
      </c>
      <c r="AO64" s="1454" t="s">
        <v>41</v>
      </c>
      <c r="AP64" s="1440"/>
      <c r="AQ64" s="1006"/>
      <c r="AR64" s="980" t="s">
        <v>367</v>
      </c>
      <c r="AS64" s="980" t="s">
        <v>285</v>
      </c>
      <c r="AT64" s="980" t="s">
        <v>143</v>
      </c>
      <c r="AU64" s="980" t="s">
        <v>142</v>
      </c>
      <c r="AV64" s="980" t="s">
        <v>45</v>
      </c>
      <c r="AW64" s="982" t="s">
        <v>42</v>
      </c>
      <c r="AX64" s="982" t="s">
        <v>43</v>
      </c>
      <c r="AY64" s="982" t="s">
        <v>165</v>
      </c>
      <c r="AZ64" s="1105"/>
      <c r="BA64" s="1105"/>
      <c r="BB64" s="976"/>
    </row>
    <row r="65" spans="1:54" ht="12.75" customHeight="1">
      <c r="A65" s="1010"/>
      <c r="B65" s="7" t="s">
        <v>475</v>
      </c>
      <c r="C65" s="1122">
        <v>2340</v>
      </c>
      <c r="D65" s="1123">
        <v>0.14517029592406477</v>
      </c>
      <c r="E65" s="1005"/>
      <c r="F65" s="1124"/>
      <c r="G65" s="1124">
        <v>18459</v>
      </c>
      <c r="H65" s="1124">
        <v>17132</v>
      </c>
      <c r="I65" s="1147">
        <v>17578</v>
      </c>
      <c r="J65" s="1124">
        <v>15504</v>
      </c>
      <c r="K65" s="1124">
        <v>16119</v>
      </c>
      <c r="L65" s="1124">
        <v>16627</v>
      </c>
      <c r="M65" s="1147">
        <v>17628</v>
      </c>
      <c r="N65" s="488">
        <v>11285</v>
      </c>
      <c r="O65" s="488">
        <v>10987</v>
      </c>
      <c r="P65" s="488">
        <v>11236</v>
      </c>
      <c r="Q65" s="1124">
        <v>11678</v>
      </c>
      <c r="R65" s="1148">
        <v>13847</v>
      </c>
      <c r="S65" s="1124">
        <v>13861</v>
      </c>
      <c r="T65" s="1124">
        <v>12994</v>
      </c>
      <c r="U65" s="1124">
        <v>6975</v>
      </c>
      <c r="V65" s="1148">
        <v>8215</v>
      </c>
      <c r="W65" s="1124">
        <v>9418</v>
      </c>
      <c r="X65" s="1124">
        <v>9547</v>
      </c>
      <c r="Y65" s="1124">
        <v>8802</v>
      </c>
      <c r="Z65" s="1149">
        <v>7648</v>
      </c>
      <c r="AA65" s="1126">
        <v>7035</v>
      </c>
      <c r="AB65" s="1150">
        <v>8214</v>
      </c>
      <c r="AC65" s="1147">
        <v>8390</v>
      </c>
      <c r="AD65" s="1125">
        <v>29584</v>
      </c>
      <c r="AE65" s="1006"/>
      <c r="AF65" s="1006"/>
      <c r="AG65" s="966"/>
      <c r="AH65" s="1006"/>
      <c r="AI65" s="966"/>
      <c r="AJ65" s="966"/>
      <c r="AK65" s="1006"/>
      <c r="AL65" s="1005"/>
      <c r="AM65" s="1064">
        <v>53169</v>
      </c>
      <c r="AN65" s="1019">
        <v>50374</v>
      </c>
      <c r="AO65" s="1151">
        <v>2795</v>
      </c>
      <c r="AP65" s="1014">
        <v>0.05548497240640013</v>
      </c>
      <c r="AQ65" s="1006"/>
      <c r="AR65" s="1128">
        <v>65878</v>
      </c>
      <c r="AS65" s="1128">
        <v>45186</v>
      </c>
      <c r="AT65" s="638">
        <v>53682</v>
      </c>
      <c r="AU65" s="43">
        <v>39936</v>
      </c>
      <c r="AV65" s="43">
        <v>46210</v>
      </c>
      <c r="AW65" s="43">
        <v>43776</v>
      </c>
      <c r="AX65" s="1129">
        <v>45773</v>
      </c>
      <c r="AY65" s="1083">
        <v>41570</v>
      </c>
      <c r="AZ65" s="1105"/>
      <c r="BA65" s="1105"/>
      <c r="BB65" s="976"/>
    </row>
    <row r="66" spans="1:54" ht="12.75" customHeight="1">
      <c r="A66" s="1010"/>
      <c r="B66" s="7" t="s">
        <v>70</v>
      </c>
      <c r="C66" s="1122">
        <v>8872</v>
      </c>
      <c r="D66" s="1123">
        <v>2.483067450321858</v>
      </c>
      <c r="E66" s="1005"/>
      <c r="F66" s="1124"/>
      <c r="G66" s="1124">
        <v>12445</v>
      </c>
      <c r="H66" s="1124">
        <v>14009</v>
      </c>
      <c r="I66" s="1147">
        <v>12951</v>
      </c>
      <c r="J66" s="1124">
        <v>9745</v>
      </c>
      <c r="K66" s="1124">
        <v>3573</v>
      </c>
      <c r="L66" s="1124">
        <v>6814</v>
      </c>
      <c r="M66" s="1147">
        <v>3882</v>
      </c>
      <c r="N66" s="488">
        <v>3882</v>
      </c>
      <c r="O66" s="488">
        <v>5322</v>
      </c>
      <c r="P66" s="488">
        <v>4626</v>
      </c>
      <c r="Q66" s="1124">
        <v>11414</v>
      </c>
      <c r="R66" s="1148">
        <v>10987</v>
      </c>
      <c r="S66" s="1124">
        <v>15691</v>
      </c>
      <c r="T66" s="1124">
        <v>6165</v>
      </c>
      <c r="U66" s="1124">
        <v>31749</v>
      </c>
      <c r="V66" s="1148">
        <v>23306</v>
      </c>
      <c r="W66" s="1124">
        <v>46294</v>
      </c>
      <c r="X66" s="1124">
        <v>16811</v>
      </c>
      <c r="Y66" s="1124">
        <v>19402</v>
      </c>
      <c r="Z66" s="1149">
        <v>15250</v>
      </c>
      <c r="AA66" s="1124">
        <v>4569</v>
      </c>
      <c r="AB66" s="1147">
        <v>12638</v>
      </c>
      <c r="AC66" s="1147">
        <v>17564</v>
      </c>
      <c r="AD66" s="1125">
        <v>0</v>
      </c>
      <c r="AE66" s="1006">
        <v>0</v>
      </c>
      <c r="AF66" s="1006">
        <v>0</v>
      </c>
      <c r="AG66" s="966">
        <v>0</v>
      </c>
      <c r="AH66" s="1006">
        <v>0</v>
      </c>
      <c r="AI66" s="966">
        <v>0</v>
      </c>
      <c r="AJ66" s="966">
        <v>0</v>
      </c>
      <c r="AK66" s="1006">
        <v>0</v>
      </c>
      <c r="AL66" s="1005"/>
      <c r="AM66" s="1064">
        <v>39405</v>
      </c>
      <c r="AN66" s="1019">
        <v>14269</v>
      </c>
      <c r="AO66" s="1065">
        <v>25136</v>
      </c>
      <c r="AP66" s="1014">
        <v>1.761581049828299</v>
      </c>
      <c r="AQ66" s="1006"/>
      <c r="AR66" s="1128">
        <v>24014</v>
      </c>
      <c r="AS66" s="1128">
        <v>25244</v>
      </c>
      <c r="AT66" s="639">
        <v>42700</v>
      </c>
      <c r="AU66" s="43">
        <v>37147</v>
      </c>
      <c r="AV66" s="43">
        <v>12860</v>
      </c>
      <c r="AW66" s="43">
        <v>34024</v>
      </c>
      <c r="AX66" s="1133">
        <v>128763</v>
      </c>
      <c r="AY66" s="1039">
        <v>99263</v>
      </c>
      <c r="AZ66" s="1105"/>
      <c r="BA66" s="1105"/>
      <c r="BB66" s="976"/>
    </row>
    <row r="67" spans="1:54" ht="12.75" customHeight="1">
      <c r="A67" s="1010"/>
      <c r="B67" s="7" t="s">
        <v>255</v>
      </c>
      <c r="C67" s="1122">
        <v>-2745</v>
      </c>
      <c r="D67" s="1123">
        <v>-0.45841683366733466</v>
      </c>
      <c r="E67" s="1005"/>
      <c r="F67" s="1124"/>
      <c r="G67" s="1124">
        <v>3243</v>
      </c>
      <c r="H67" s="1124">
        <v>1601</v>
      </c>
      <c r="I67" s="1147">
        <v>6603</v>
      </c>
      <c r="J67" s="1124">
        <v>6074</v>
      </c>
      <c r="K67" s="1124">
        <v>5988</v>
      </c>
      <c r="L67" s="1124">
        <v>5624</v>
      </c>
      <c r="M67" s="1147">
        <v>3598</v>
      </c>
      <c r="N67" s="488">
        <v>1320</v>
      </c>
      <c r="O67" s="488">
        <v>837</v>
      </c>
      <c r="P67" s="488">
        <v>1962</v>
      </c>
      <c r="Q67" s="1124">
        <v>2960</v>
      </c>
      <c r="R67" s="1148">
        <v>2860</v>
      </c>
      <c r="S67" s="1124">
        <v>2925</v>
      </c>
      <c r="T67" s="1124">
        <v>740</v>
      </c>
      <c r="U67" s="1124">
        <v>14504</v>
      </c>
      <c r="V67" s="1148">
        <v>1297</v>
      </c>
      <c r="W67" s="1124">
        <v>1601</v>
      </c>
      <c r="X67" s="1124">
        <v>1211</v>
      </c>
      <c r="Y67" s="1124">
        <v>1444</v>
      </c>
      <c r="Z67" s="1149">
        <v>2473</v>
      </c>
      <c r="AA67" s="1124">
        <v>1215</v>
      </c>
      <c r="AB67" s="1147">
        <v>2659</v>
      </c>
      <c r="AC67" s="1147">
        <v>8562</v>
      </c>
      <c r="AD67" s="1125"/>
      <c r="AE67" s="1006"/>
      <c r="AF67" s="1006"/>
      <c r="AG67" s="966"/>
      <c r="AH67" s="1006"/>
      <c r="AI67" s="966"/>
      <c r="AJ67" s="966"/>
      <c r="AK67" s="1006"/>
      <c r="AL67" s="1005"/>
      <c r="AM67" s="1064">
        <v>11447</v>
      </c>
      <c r="AN67" s="1019">
        <v>15210</v>
      </c>
      <c r="AO67" s="1152">
        <v>-3763</v>
      </c>
      <c r="AP67" s="1014">
        <v>-0.24740302432610126</v>
      </c>
      <c r="AQ67" s="1006"/>
      <c r="AR67" s="1128">
        <v>21284</v>
      </c>
      <c r="AS67" s="1128">
        <v>7079</v>
      </c>
      <c r="AT67" s="639">
        <v>9588</v>
      </c>
      <c r="AU67" s="43">
        <v>21890</v>
      </c>
      <c r="AV67" s="43">
        <v>15171</v>
      </c>
      <c r="AW67" s="43">
        <v>11589</v>
      </c>
      <c r="AX67" s="1153">
        <v>12713</v>
      </c>
      <c r="AY67" s="1039">
        <v>4636</v>
      </c>
      <c r="AZ67" s="1105"/>
      <c r="BA67" s="1105"/>
      <c r="BB67" s="976"/>
    </row>
    <row r="68" spans="1:54" ht="12.75" customHeight="1">
      <c r="A68" s="1010"/>
      <c r="B68" s="7" t="s">
        <v>71</v>
      </c>
      <c r="C68" s="1122">
        <v>1902</v>
      </c>
      <c r="D68" s="1123">
        <v>0.16604103011785246</v>
      </c>
      <c r="E68" s="1005"/>
      <c r="F68" s="1124"/>
      <c r="G68" s="1142">
        <v>13357</v>
      </c>
      <c r="H68" s="1124">
        <v>10547</v>
      </c>
      <c r="I68" s="1147">
        <v>14502</v>
      </c>
      <c r="J68" s="1124">
        <v>13382</v>
      </c>
      <c r="K68" s="1142">
        <v>11455</v>
      </c>
      <c r="L68" s="1124">
        <v>9853</v>
      </c>
      <c r="M68" s="1147">
        <v>5436</v>
      </c>
      <c r="N68" s="488">
        <v>1678</v>
      </c>
      <c r="O68" s="488">
        <v>0</v>
      </c>
      <c r="P68" s="488">
        <v>0</v>
      </c>
      <c r="Q68" s="1142">
        <v>0</v>
      </c>
      <c r="R68" s="1122">
        <v>0</v>
      </c>
      <c r="S68" s="1142">
        <v>0</v>
      </c>
      <c r="T68" s="1142">
        <v>0</v>
      </c>
      <c r="U68" s="1124">
        <v>-262</v>
      </c>
      <c r="V68" s="1148">
        <v>-115</v>
      </c>
      <c r="W68" s="1124">
        <v>-132</v>
      </c>
      <c r="X68" s="1124">
        <v>-255</v>
      </c>
      <c r="Y68" s="1124">
        <v>-45</v>
      </c>
      <c r="Z68" s="1149">
        <v>-388</v>
      </c>
      <c r="AA68" s="1124">
        <v>-274</v>
      </c>
      <c r="AB68" s="1147">
        <v>-218</v>
      </c>
      <c r="AC68" s="1147">
        <v>-343</v>
      </c>
      <c r="AD68" s="1125">
        <v>5363</v>
      </c>
      <c r="AE68" s="1006"/>
      <c r="AF68" s="1006"/>
      <c r="AG68" s="966"/>
      <c r="AH68" s="1006"/>
      <c r="AI68" s="966"/>
      <c r="AJ68" s="966"/>
      <c r="AK68" s="1006"/>
      <c r="AL68" s="1005"/>
      <c r="AM68" s="1064">
        <v>38406</v>
      </c>
      <c r="AN68" s="1142">
        <v>26744</v>
      </c>
      <c r="AO68" s="1152">
        <v>11662</v>
      </c>
      <c r="AP68" s="1014">
        <v>0.4360604247681723</v>
      </c>
      <c r="AQ68" s="1006"/>
      <c r="AR68" s="1128">
        <v>40126</v>
      </c>
      <c r="AS68" s="1128">
        <v>1678</v>
      </c>
      <c r="AT68" s="639">
        <v>0</v>
      </c>
      <c r="AU68" s="43">
        <v>0</v>
      </c>
      <c r="AV68" s="43">
        <v>0</v>
      </c>
      <c r="AW68" s="43">
        <v>0</v>
      </c>
      <c r="AX68" s="1133">
        <v>-524</v>
      </c>
      <c r="AY68" s="1039">
        <v>4647</v>
      </c>
      <c r="AZ68" s="1105"/>
      <c r="BA68" s="1105"/>
      <c r="BB68" s="976"/>
    </row>
    <row r="69" spans="1:54" ht="12.75" customHeight="1">
      <c r="A69" s="1010"/>
      <c r="B69" s="7" t="s">
        <v>72</v>
      </c>
      <c r="C69" s="1122">
        <v>-160</v>
      </c>
      <c r="D69" s="1123">
        <v>-0.3524229074889868</v>
      </c>
      <c r="E69" s="1005"/>
      <c r="F69" s="1124"/>
      <c r="G69" s="1154">
        <v>294</v>
      </c>
      <c r="H69" s="1036">
        <v>380</v>
      </c>
      <c r="I69" s="1147">
        <v>473</v>
      </c>
      <c r="J69" s="1124">
        <v>418</v>
      </c>
      <c r="K69" s="1154">
        <v>454</v>
      </c>
      <c r="L69" s="1036">
        <v>398</v>
      </c>
      <c r="M69" s="1147">
        <v>340</v>
      </c>
      <c r="N69" s="488">
        <v>25</v>
      </c>
      <c r="O69" s="488">
        <v>13</v>
      </c>
      <c r="P69" s="488">
        <v>15</v>
      </c>
      <c r="Q69" s="1124">
        <v>7</v>
      </c>
      <c r="R69" s="1148">
        <v>14</v>
      </c>
      <c r="S69" s="1154">
        <v>3</v>
      </c>
      <c r="T69" s="1154">
        <v>5</v>
      </c>
      <c r="U69" s="1124">
        <v>46</v>
      </c>
      <c r="V69" s="1148">
        <v>102</v>
      </c>
      <c r="W69" s="1155">
        <v>0</v>
      </c>
      <c r="X69" s="1155">
        <v>0</v>
      </c>
      <c r="Y69" s="1124">
        <v>37</v>
      </c>
      <c r="Z69" s="1149">
        <v>50</v>
      </c>
      <c r="AA69" s="1124">
        <v>93</v>
      </c>
      <c r="AB69" s="1147">
        <v>168</v>
      </c>
      <c r="AC69" s="1147">
        <v>178</v>
      </c>
      <c r="AD69" s="1125">
        <v>-3063</v>
      </c>
      <c r="AE69" s="1006">
        <v>42952</v>
      </c>
      <c r="AF69" s="1006">
        <v>39210</v>
      </c>
      <c r="AG69" s="966">
        <v>62549</v>
      </c>
      <c r="AH69" s="1006">
        <v>57382</v>
      </c>
      <c r="AI69" s="966">
        <v>48897</v>
      </c>
      <c r="AJ69" s="966">
        <v>38533</v>
      </c>
      <c r="AK69" s="1006">
        <v>42750</v>
      </c>
      <c r="AL69" s="1005"/>
      <c r="AM69" s="1064">
        <v>1147</v>
      </c>
      <c r="AN69" s="1019">
        <v>1192</v>
      </c>
      <c r="AO69" s="1152">
        <v>-45</v>
      </c>
      <c r="AP69" s="1014">
        <v>-0.037751677852348994</v>
      </c>
      <c r="AQ69" s="1006"/>
      <c r="AR69" s="1128">
        <v>1610</v>
      </c>
      <c r="AS69" s="1128">
        <v>60</v>
      </c>
      <c r="AT69" s="639">
        <v>27</v>
      </c>
      <c r="AU69" s="43">
        <v>-1652</v>
      </c>
      <c r="AV69" s="43">
        <v>368</v>
      </c>
      <c r="AW69" s="43">
        <v>1120</v>
      </c>
      <c r="AX69" s="1133">
        <v>543</v>
      </c>
      <c r="AY69" s="1039">
        <v>236</v>
      </c>
      <c r="AZ69" s="1105"/>
      <c r="BA69" s="1105"/>
      <c r="BB69" s="976"/>
    </row>
    <row r="70" spans="1:54" ht="12.75" customHeight="1">
      <c r="A70" s="1116"/>
      <c r="B70" s="7" t="s">
        <v>73</v>
      </c>
      <c r="C70" s="1122">
        <v>435</v>
      </c>
      <c r="D70" s="1224" t="s">
        <v>44</v>
      </c>
      <c r="E70" s="1156"/>
      <c r="F70" s="1124"/>
      <c r="G70" s="1154">
        <v>471</v>
      </c>
      <c r="H70" s="1016">
        <v>331</v>
      </c>
      <c r="I70" s="1157">
        <v>836</v>
      </c>
      <c r="J70" s="1124">
        <v>83</v>
      </c>
      <c r="K70" s="1154">
        <v>36</v>
      </c>
      <c r="L70" s="1016">
        <v>158</v>
      </c>
      <c r="M70" s="1157">
        <v>166</v>
      </c>
      <c r="N70" s="488">
        <v>297</v>
      </c>
      <c r="O70" s="488">
        <v>38</v>
      </c>
      <c r="P70" s="1339">
        <v>-49</v>
      </c>
      <c r="Q70" s="1018">
        <v>-47</v>
      </c>
      <c r="R70" s="1148">
        <v>4</v>
      </c>
      <c r="S70" s="1154">
        <v>138</v>
      </c>
      <c r="T70" s="1158">
        <v>179</v>
      </c>
      <c r="U70" s="1018">
        <v>45</v>
      </c>
      <c r="V70" s="1148">
        <v>1</v>
      </c>
      <c r="W70" s="1155">
        <v>0</v>
      </c>
      <c r="X70" s="1159">
        <v>0</v>
      </c>
      <c r="Y70" s="1018">
        <v>414</v>
      </c>
      <c r="Z70" s="1061">
        <v>0</v>
      </c>
      <c r="AA70" s="1018">
        <v>1</v>
      </c>
      <c r="AB70" s="1160">
        <v>0</v>
      </c>
      <c r="AC70" s="1157">
        <v>1</v>
      </c>
      <c r="AD70" s="1139">
        <v>60</v>
      </c>
      <c r="AE70" s="972"/>
      <c r="AF70" s="972"/>
      <c r="AG70" s="972"/>
      <c r="AH70" s="972"/>
      <c r="AI70" s="972"/>
      <c r="AJ70" s="972"/>
      <c r="AK70" s="972"/>
      <c r="AL70" s="1005"/>
      <c r="AM70" s="1064">
        <v>1638</v>
      </c>
      <c r="AN70" s="1019">
        <v>360</v>
      </c>
      <c r="AO70" s="1152">
        <v>1278</v>
      </c>
      <c r="AP70" s="1014" t="s">
        <v>44</v>
      </c>
      <c r="AQ70" s="1010"/>
      <c r="AR70" s="1128">
        <v>443</v>
      </c>
      <c r="AS70" s="1128">
        <v>239</v>
      </c>
      <c r="AT70" s="640">
        <v>222</v>
      </c>
      <c r="AU70" s="43">
        <v>308</v>
      </c>
      <c r="AV70" s="43">
        <v>185</v>
      </c>
      <c r="AW70" s="43">
        <v>279</v>
      </c>
      <c r="AX70" s="1135">
        <v>294</v>
      </c>
      <c r="AY70" s="1136">
        <v>118</v>
      </c>
      <c r="AZ70" s="1105"/>
      <c r="BA70" s="1105"/>
      <c r="BB70" s="976"/>
    </row>
    <row r="71" spans="1:53" ht="12.75" customHeight="1">
      <c r="A71" s="1116"/>
      <c r="B71" s="7"/>
      <c r="C71" s="1161">
        <v>10644</v>
      </c>
      <c r="D71" s="1162">
        <v>0.2828970099667774</v>
      </c>
      <c r="E71" s="971"/>
      <c r="F71" s="1163"/>
      <c r="G71" s="1163">
        <v>48269</v>
      </c>
      <c r="H71" s="1163">
        <v>44000</v>
      </c>
      <c r="I71" s="1164">
        <v>52943</v>
      </c>
      <c r="J71" s="1163">
        <v>45206</v>
      </c>
      <c r="K71" s="1163">
        <v>37625</v>
      </c>
      <c r="L71" s="1163">
        <v>39474</v>
      </c>
      <c r="M71" s="1164">
        <v>31050</v>
      </c>
      <c r="N71" s="583">
        <v>18487</v>
      </c>
      <c r="O71" s="583">
        <v>17197</v>
      </c>
      <c r="P71" s="583">
        <v>17790</v>
      </c>
      <c r="Q71" s="1163">
        <v>26012</v>
      </c>
      <c r="R71" s="1165">
        <v>27712</v>
      </c>
      <c r="S71" s="1163">
        <v>32618</v>
      </c>
      <c r="T71" s="1163">
        <v>20083</v>
      </c>
      <c r="U71" s="1163">
        <v>53057</v>
      </c>
      <c r="V71" s="1165">
        <v>32806</v>
      </c>
      <c r="W71" s="1163">
        <v>57181</v>
      </c>
      <c r="X71" s="1163">
        <v>27314</v>
      </c>
      <c r="Y71" s="1163">
        <v>30054</v>
      </c>
      <c r="Z71" s="1165">
        <v>25033</v>
      </c>
      <c r="AA71" s="1163">
        <v>12639</v>
      </c>
      <c r="AB71" s="1164">
        <v>23461</v>
      </c>
      <c r="AC71" s="1164">
        <v>34352</v>
      </c>
      <c r="AD71" s="1164">
        <v>31944</v>
      </c>
      <c r="AE71" s="962"/>
      <c r="AF71" s="962"/>
      <c r="AG71" s="962"/>
      <c r="AH71" s="962"/>
      <c r="AI71" s="962"/>
      <c r="AJ71" s="962"/>
      <c r="AK71" s="962"/>
      <c r="AL71" s="971"/>
      <c r="AM71" s="1165">
        <v>145212</v>
      </c>
      <c r="AN71" s="1163">
        <v>108149</v>
      </c>
      <c r="AO71" s="1166">
        <v>37063</v>
      </c>
      <c r="AP71" s="1167">
        <v>0.3427031225438978</v>
      </c>
      <c r="AR71" s="1168">
        <v>153355</v>
      </c>
      <c r="AS71" s="1168">
        <v>79486</v>
      </c>
      <c r="AT71" s="1168">
        <v>106219</v>
      </c>
      <c r="AU71" s="1168">
        <v>97629</v>
      </c>
      <c r="AV71" s="1169">
        <v>74794</v>
      </c>
      <c r="AW71" s="1168">
        <v>90788</v>
      </c>
      <c r="AX71" s="1169">
        <v>187562</v>
      </c>
      <c r="AY71" s="1169">
        <v>150470</v>
      </c>
      <c r="AZ71" s="1105"/>
      <c r="BA71" s="1105"/>
    </row>
    <row r="72" spans="1:53" ht="12.75" customHeight="1">
      <c r="A72" s="1116"/>
      <c r="B72" s="7"/>
      <c r="C72" s="1137"/>
      <c r="D72" s="1170"/>
      <c r="E72" s="971"/>
      <c r="F72" s="1171"/>
      <c r="G72" s="1163"/>
      <c r="H72" s="1172"/>
      <c r="I72" s="1139"/>
      <c r="J72" s="1171"/>
      <c r="K72" s="1163"/>
      <c r="L72" s="1172"/>
      <c r="M72" s="1139"/>
      <c r="N72" s="610"/>
      <c r="O72" s="583"/>
      <c r="P72" s="611"/>
      <c r="Q72" s="1172"/>
      <c r="R72" s="1173"/>
      <c r="S72" s="1172"/>
      <c r="T72" s="1172"/>
      <c r="U72" s="1172"/>
      <c r="V72" s="1173"/>
      <c r="W72" s="1172"/>
      <c r="X72" s="1172"/>
      <c r="Y72" s="1172"/>
      <c r="Z72" s="1171"/>
      <c r="AA72" s="1171"/>
      <c r="AB72" s="1171"/>
      <c r="AC72" s="1171"/>
      <c r="AD72" s="1171"/>
      <c r="AE72" s="962"/>
      <c r="AF72" s="962"/>
      <c r="AG72" s="962"/>
      <c r="AH72" s="962"/>
      <c r="AI72" s="962"/>
      <c r="AJ72" s="962"/>
      <c r="AK72" s="962"/>
      <c r="AL72" s="971"/>
      <c r="AM72" s="1173"/>
      <c r="AN72" s="1172"/>
      <c r="AO72" s="1174"/>
      <c r="AP72" s="1175"/>
      <c r="AR72" s="1176"/>
      <c r="AS72" s="1176"/>
      <c r="AT72" s="1176"/>
      <c r="AU72" s="1176"/>
      <c r="AV72" s="1177"/>
      <c r="AW72" s="1176"/>
      <c r="AX72" s="1177"/>
      <c r="AY72" s="1020"/>
      <c r="AZ72" s="1105"/>
      <c r="BA72" s="1105"/>
    </row>
    <row r="73" spans="1:54" ht="12.75" customHeight="1">
      <c r="A73" s="966"/>
      <c r="B73" s="7" t="s">
        <v>476</v>
      </c>
      <c r="C73" s="1161">
        <v>303</v>
      </c>
      <c r="D73" s="1162">
        <v>0.4495548961424332</v>
      </c>
      <c r="E73" s="1246"/>
      <c r="F73" s="1247"/>
      <c r="G73" s="1247">
        <v>-371</v>
      </c>
      <c r="H73" s="1247">
        <v>-922</v>
      </c>
      <c r="I73" s="1248">
        <v>-956</v>
      </c>
      <c r="J73" s="1247">
        <v>-541</v>
      </c>
      <c r="K73" s="1247">
        <v>-674</v>
      </c>
      <c r="L73" s="1247">
        <v>-320</v>
      </c>
      <c r="M73" s="1248">
        <v>-1245</v>
      </c>
      <c r="N73" s="1247">
        <v>-1385</v>
      </c>
      <c r="O73" s="1247">
        <v>-1519</v>
      </c>
      <c r="P73" s="1247">
        <v>-1327</v>
      </c>
      <c r="Q73" s="1248">
        <v>-1714</v>
      </c>
      <c r="R73" s="1249">
        <v>-1639</v>
      </c>
      <c r="S73" s="1250">
        <v>-1628</v>
      </c>
      <c r="T73" s="1250">
        <v>-1323</v>
      </c>
      <c r="U73" s="1248">
        <v>-6918</v>
      </c>
      <c r="V73" s="1251" t="s">
        <v>214</v>
      </c>
      <c r="W73" s="1252" t="s">
        <v>214</v>
      </c>
      <c r="X73" s="1253" t="s">
        <v>214</v>
      </c>
      <c r="Y73" s="1253" t="s">
        <v>214</v>
      </c>
      <c r="Z73" s="1254"/>
      <c r="AA73" s="1254"/>
      <c r="AB73" s="1254"/>
      <c r="AC73" s="1254"/>
      <c r="AD73" s="1254"/>
      <c r="AE73" s="1255"/>
      <c r="AF73" s="1255"/>
      <c r="AG73" s="1255"/>
      <c r="AH73" s="1255"/>
      <c r="AI73" s="1255"/>
      <c r="AJ73" s="1255"/>
      <c r="AK73" s="1255"/>
      <c r="AL73" s="1256"/>
      <c r="AM73" s="1249">
        <v>-2249</v>
      </c>
      <c r="AN73" s="1250">
        <v>-2239</v>
      </c>
      <c r="AO73" s="611">
        <v>-10</v>
      </c>
      <c r="AP73" s="1257">
        <v>-0.0044662795891022775</v>
      </c>
      <c r="AQ73" s="1258"/>
      <c r="AR73" s="708">
        <v>-2780</v>
      </c>
      <c r="AS73" s="708">
        <v>-5945</v>
      </c>
      <c r="AT73" s="708">
        <v>-5913</v>
      </c>
      <c r="AU73" s="708" t="s">
        <v>214</v>
      </c>
      <c r="AV73" s="1259" t="s">
        <v>214</v>
      </c>
      <c r="AW73" s="708" t="s">
        <v>214</v>
      </c>
      <c r="AX73" s="708" t="s">
        <v>214</v>
      </c>
      <c r="AY73" s="1260"/>
      <c r="AZ73" s="1261"/>
      <c r="BA73" s="1261"/>
      <c r="BB73" s="1262"/>
    </row>
    <row r="74" spans="8:50" ht="12.75">
      <c r="H74" s="1198"/>
      <c r="I74" s="1050"/>
      <c r="L74" s="1198"/>
      <c r="M74" s="1050"/>
      <c r="P74" s="1198"/>
      <c r="Q74" s="1050"/>
      <c r="U74" s="1050"/>
      <c r="Y74" s="1050"/>
      <c r="AC74" s="1050"/>
      <c r="AK74" s="1050"/>
      <c r="AL74" s="957"/>
      <c r="AM74" s="957"/>
      <c r="AN74" s="957"/>
      <c r="AW74" s="1050"/>
      <c r="AX74" s="1050"/>
    </row>
    <row r="75" spans="3:51" ht="12.75">
      <c r="C75" s="1263"/>
      <c r="F75" s="1050"/>
      <c r="G75" s="1050"/>
      <c r="H75" s="1050"/>
      <c r="I75" s="1050"/>
      <c r="J75" s="1050"/>
      <c r="K75" s="1050"/>
      <c r="L75" s="1050"/>
      <c r="M75" s="1050"/>
      <c r="N75" s="1050"/>
      <c r="O75" s="1050"/>
      <c r="P75" s="1050"/>
      <c r="Q75" s="1050"/>
      <c r="R75" s="1050"/>
      <c r="S75" s="1050"/>
      <c r="T75" s="1050"/>
      <c r="U75" s="1050"/>
      <c r="V75" s="1050"/>
      <c r="W75" s="1050"/>
      <c r="X75" s="1050"/>
      <c r="Y75" s="1050"/>
      <c r="Z75" s="1050"/>
      <c r="AA75" s="1050"/>
      <c r="AB75" s="1050"/>
      <c r="AC75" s="1050"/>
      <c r="AD75" s="1050"/>
      <c r="AE75" s="1050"/>
      <c r="AF75" s="1050"/>
      <c r="AG75" s="1050"/>
      <c r="AH75" s="1050"/>
      <c r="AI75" s="1050"/>
      <c r="AJ75" s="1050"/>
      <c r="AK75" s="1050"/>
      <c r="AL75" s="1050"/>
      <c r="AM75" s="1050"/>
      <c r="AN75" s="1050"/>
      <c r="AO75" s="1024"/>
      <c r="AP75" s="1024"/>
      <c r="AQ75" s="1050"/>
      <c r="AR75" s="1050"/>
      <c r="AS75" s="1050"/>
      <c r="AT75" s="1050"/>
      <c r="AU75" s="1050"/>
      <c r="AV75" s="1050"/>
      <c r="AW75" s="1050"/>
      <c r="AX75" s="1050"/>
      <c r="AY75" s="1050"/>
    </row>
    <row r="76" spans="6:54" ht="12.75">
      <c r="F76" s="958"/>
      <c r="G76" s="958"/>
      <c r="H76" s="958"/>
      <c r="I76" s="958"/>
      <c r="J76" s="958"/>
      <c r="K76" s="958"/>
      <c r="L76" s="958"/>
      <c r="M76" s="958"/>
      <c r="N76" s="958"/>
      <c r="O76" s="958"/>
      <c r="P76" s="958"/>
      <c r="Q76" s="958"/>
      <c r="R76" s="958"/>
      <c r="S76" s="958"/>
      <c r="T76" s="958"/>
      <c r="U76" s="958"/>
      <c r="V76" s="958"/>
      <c r="W76" s="958"/>
      <c r="X76" s="958"/>
      <c r="Y76" s="958"/>
      <c r="Z76" s="958"/>
      <c r="AA76" s="958"/>
      <c r="AB76" s="958"/>
      <c r="AC76" s="958"/>
      <c r="AD76" s="958"/>
      <c r="AE76" s="958"/>
      <c r="AF76" s="958"/>
      <c r="AG76" s="958"/>
      <c r="AH76" s="958"/>
      <c r="AI76" s="958"/>
      <c r="AJ76" s="958"/>
      <c r="AK76" s="958"/>
      <c r="AL76" s="958"/>
      <c r="AM76" s="958"/>
      <c r="AN76" s="958"/>
      <c r="AO76" s="1199"/>
      <c r="AP76" s="1199"/>
      <c r="AQ76" s="958"/>
      <c r="AR76" s="958"/>
      <c r="AS76" s="958"/>
      <c r="AT76" s="958"/>
      <c r="AU76" s="958"/>
      <c r="AV76" s="958"/>
      <c r="AW76" s="958"/>
      <c r="AX76" s="958"/>
      <c r="AY76" s="958"/>
      <c r="AZ76" s="958">
        <v>0</v>
      </c>
      <c r="BA76" s="958">
        <v>0</v>
      </c>
      <c r="BB76" s="958">
        <v>0</v>
      </c>
    </row>
    <row r="77" spans="8:51" ht="12.75">
      <c r="H77" s="958"/>
      <c r="I77" s="958"/>
      <c r="L77" s="958"/>
      <c r="M77" s="958"/>
      <c r="P77" s="958"/>
      <c r="Q77" s="958"/>
      <c r="U77" s="958"/>
      <c r="Y77" s="958"/>
      <c r="Z77" s="958"/>
      <c r="AA77" s="958"/>
      <c r="AB77" s="958"/>
      <c r="AC77" s="958"/>
      <c r="AD77" s="958"/>
      <c r="AE77" s="958"/>
      <c r="AF77" s="958"/>
      <c r="AG77" s="958"/>
      <c r="AH77" s="958"/>
      <c r="AI77" s="958"/>
      <c r="AJ77" s="958"/>
      <c r="AK77" s="958"/>
      <c r="AL77" s="958"/>
      <c r="AM77" s="958"/>
      <c r="AN77" s="958"/>
      <c r="AO77" s="1199"/>
      <c r="AP77" s="1199"/>
      <c r="AQ77" s="958"/>
      <c r="AR77" s="958"/>
      <c r="AS77" s="958"/>
      <c r="AT77" s="958"/>
      <c r="AU77" s="958"/>
      <c r="AV77" s="958"/>
      <c r="AW77" s="958"/>
      <c r="AX77" s="1200"/>
      <c r="AY77" s="1200"/>
    </row>
    <row r="78" spans="6:51" ht="12.75">
      <c r="F78" s="958"/>
      <c r="G78" s="958"/>
      <c r="H78" s="958"/>
      <c r="I78" s="958"/>
      <c r="J78" s="958"/>
      <c r="K78" s="958"/>
      <c r="L78" s="958"/>
      <c r="M78" s="958"/>
      <c r="N78" s="958"/>
      <c r="O78" s="958"/>
      <c r="P78" s="958"/>
      <c r="Q78" s="958"/>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1199"/>
      <c r="AP78" s="1199"/>
      <c r="AQ78" s="958"/>
      <c r="AR78" s="958"/>
      <c r="AS78" s="958"/>
      <c r="AT78" s="958"/>
      <c r="AU78" s="958"/>
      <c r="AV78" s="958"/>
      <c r="AW78" s="958"/>
      <c r="AX78" s="958"/>
      <c r="AY78" s="958"/>
    </row>
    <row r="79" spans="6:51" ht="12.75">
      <c r="F79" s="958"/>
      <c r="G79" s="958"/>
      <c r="H79" s="958"/>
      <c r="I79" s="958"/>
      <c r="J79" s="958"/>
      <c r="K79" s="958"/>
      <c r="L79" s="958"/>
      <c r="M79" s="958"/>
      <c r="N79" s="958"/>
      <c r="O79" s="958"/>
      <c r="P79" s="958"/>
      <c r="Q79" s="958"/>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1199"/>
      <c r="AP79" s="1199"/>
      <c r="AQ79" s="958"/>
      <c r="AR79" s="958"/>
      <c r="AS79" s="958"/>
      <c r="AT79" s="958"/>
      <c r="AU79" s="958"/>
      <c r="AV79" s="958"/>
      <c r="AW79" s="958"/>
      <c r="AX79" s="958"/>
      <c r="AY79" s="958"/>
    </row>
    <row r="80" spans="1:51" ht="12.75">
      <c r="A80" s="957"/>
      <c r="B80" s="957"/>
      <c r="C80" s="957"/>
      <c r="D80" s="957"/>
      <c r="F80" s="1021"/>
      <c r="G80" s="1021"/>
      <c r="H80" s="1021"/>
      <c r="I80" s="1021"/>
      <c r="J80" s="1021"/>
      <c r="K80" s="1021"/>
      <c r="L80" s="1021"/>
      <c r="M80" s="1021"/>
      <c r="N80" s="1021"/>
      <c r="O80" s="1021"/>
      <c r="P80" s="1021"/>
      <c r="Q80" s="1021"/>
      <c r="R80" s="1021"/>
      <c r="S80" s="1021"/>
      <c r="T80" s="1021"/>
      <c r="U80" s="1021"/>
      <c r="V80" s="1021"/>
      <c r="W80" s="1021"/>
      <c r="X80" s="1021"/>
      <c r="Y80" s="1021"/>
      <c r="Z80" s="1021"/>
      <c r="AA80" s="1021"/>
      <c r="AB80" s="1021"/>
      <c r="AC80" s="1021"/>
      <c r="AD80" s="1021"/>
      <c r="AE80" s="1021"/>
      <c r="AF80" s="1021"/>
      <c r="AG80" s="1021"/>
      <c r="AH80" s="1021"/>
      <c r="AI80" s="1021"/>
      <c r="AJ80" s="1021"/>
      <c r="AK80" s="1021"/>
      <c r="AL80" s="1021"/>
      <c r="AM80" s="1021"/>
      <c r="AN80" s="1021"/>
      <c r="AO80" s="1201"/>
      <c r="AP80" s="1201"/>
      <c r="AQ80" s="1021"/>
      <c r="AR80" s="1021"/>
      <c r="AS80" s="1021"/>
      <c r="AT80" s="1021"/>
      <c r="AU80" s="1021"/>
      <c r="AV80" s="1021"/>
      <c r="AW80" s="1021"/>
      <c r="AX80" s="1021"/>
      <c r="AY80" s="1021"/>
    </row>
    <row r="81" spans="6:51" ht="12.75">
      <c r="F81" s="958"/>
      <c r="G81" s="958"/>
      <c r="H81" s="958"/>
      <c r="I81" s="958"/>
      <c r="J81" s="958"/>
      <c r="K81" s="958"/>
      <c r="L81" s="958"/>
      <c r="M81" s="958"/>
      <c r="N81" s="958"/>
      <c r="O81" s="958"/>
      <c r="P81" s="958"/>
      <c r="Q81" s="958"/>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7"/>
      <c r="AX81" s="957"/>
      <c r="AY81" s="957"/>
    </row>
    <row r="82" spans="6:51" ht="12.75">
      <c r="F82" s="958"/>
      <c r="G82" s="958"/>
      <c r="H82" s="958"/>
      <c r="I82" s="958"/>
      <c r="J82" s="958"/>
      <c r="K82" s="958"/>
      <c r="L82" s="958"/>
      <c r="M82" s="958"/>
      <c r="N82" s="958"/>
      <c r="O82" s="958"/>
      <c r="P82" s="958"/>
      <c r="Q82" s="958"/>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1199"/>
      <c r="AP82" s="1199"/>
      <c r="AQ82" s="958"/>
      <c r="AR82" s="958"/>
      <c r="AS82" s="958"/>
      <c r="AT82" s="958"/>
      <c r="AU82" s="958"/>
      <c r="AV82" s="958"/>
      <c r="AW82" s="958"/>
      <c r="AX82" s="958"/>
      <c r="AY82" s="958"/>
    </row>
    <row r="83" spans="29:50" ht="12.75">
      <c r="AC83" s="1202"/>
      <c r="AK83" s="1202"/>
      <c r="AL83" s="957"/>
      <c r="AM83" s="957"/>
      <c r="AN83" s="957"/>
      <c r="AW83" s="962"/>
      <c r="AX83" s="962"/>
    </row>
    <row r="84" spans="29:50" ht="12.75">
      <c r="AC84" s="962"/>
      <c r="AK84" s="1203"/>
      <c r="AL84" s="957"/>
      <c r="AM84" s="957"/>
      <c r="AN84" s="957"/>
      <c r="AW84" s="962"/>
      <c r="AX84" s="962"/>
    </row>
    <row r="85" spans="29:50" ht="12.75">
      <c r="AC85" s="962"/>
      <c r="AD85" s="962"/>
      <c r="AG85" s="962"/>
      <c r="AI85" s="962"/>
      <c r="AJ85" s="962"/>
      <c r="AK85" s="962"/>
      <c r="AL85" s="957"/>
      <c r="AM85" s="957"/>
      <c r="AN85" s="957"/>
      <c r="AW85" s="1205"/>
      <c r="AX85" s="1205"/>
    </row>
    <row r="86" spans="29:50" ht="12.75">
      <c r="AC86" s="1205"/>
      <c r="AD86" s="1206"/>
      <c r="AE86" s="1205"/>
      <c r="AF86" s="1205"/>
      <c r="AG86" s="1205"/>
      <c r="AH86" s="1207"/>
      <c r="AI86" s="1207"/>
      <c r="AJ86" s="1208"/>
      <c r="AK86" s="966"/>
      <c r="AL86" s="957"/>
      <c r="AM86" s="957"/>
      <c r="AN86" s="957"/>
      <c r="AW86" s="1205"/>
      <c r="AX86" s="1205"/>
    </row>
    <row r="87" spans="29:50" ht="12.75">
      <c r="AC87" s="1205"/>
      <c r="AD87" s="1205"/>
      <c r="AE87" s="1205"/>
      <c r="AF87" s="1205"/>
      <c r="AG87" s="1205"/>
      <c r="AH87" s="1209"/>
      <c r="AI87" s="1205"/>
      <c r="AJ87" s="1205"/>
      <c r="AK87" s="1205"/>
      <c r="AL87" s="957"/>
      <c r="AM87" s="957"/>
      <c r="AN87" s="957"/>
      <c r="AW87" s="1110"/>
      <c r="AX87" s="1110"/>
    </row>
    <row r="88" spans="29:50" ht="12.75">
      <c r="AC88" s="1110"/>
      <c r="AD88" s="1210"/>
      <c r="AE88" s="1107"/>
      <c r="AF88" s="1107"/>
      <c r="AG88" s="1107"/>
      <c r="AH88" s="1210"/>
      <c r="AI88" s="1107"/>
      <c r="AJ88" s="1107"/>
      <c r="AK88" s="1100"/>
      <c r="AL88" s="957"/>
      <c r="AM88" s="957"/>
      <c r="AN88" s="957"/>
      <c r="AW88" s="1107"/>
      <c r="AX88" s="1107"/>
    </row>
    <row r="89" spans="29:50" ht="12.75">
      <c r="AC89" s="1110"/>
      <c r="AD89" s="1107"/>
      <c r="AE89" s="1107"/>
      <c r="AF89" s="1107"/>
      <c r="AG89" s="1107"/>
      <c r="AH89" s="1107"/>
      <c r="AI89" s="1107"/>
      <c r="AJ89" s="1107"/>
      <c r="AK89" s="1100"/>
      <c r="AL89" s="957"/>
      <c r="AM89" s="957"/>
      <c r="AN89" s="957"/>
      <c r="AW89" s="1107"/>
      <c r="AX89" s="1107"/>
    </row>
    <row r="90" spans="29:50" ht="12.75">
      <c r="AC90" s="1110"/>
      <c r="AD90" s="1107"/>
      <c r="AE90" s="1107"/>
      <c r="AF90" s="1107"/>
      <c r="AG90" s="1107"/>
      <c r="AH90" s="1107"/>
      <c r="AI90" s="1107"/>
      <c r="AJ90" s="1107"/>
      <c r="AK90" s="1100"/>
      <c r="AL90" s="957"/>
      <c r="AM90" s="957"/>
      <c r="AN90" s="957"/>
      <c r="AW90" s="1107"/>
      <c r="AX90" s="1107"/>
    </row>
    <row r="91" spans="29:50" ht="12.75">
      <c r="AC91" s="1107"/>
      <c r="AD91" s="1107"/>
      <c r="AE91" s="1107"/>
      <c r="AF91" s="1107"/>
      <c r="AG91" s="1107"/>
      <c r="AH91" s="1107"/>
      <c r="AI91" s="1107"/>
      <c r="AJ91" s="1107"/>
      <c r="AK91" s="1107"/>
      <c r="AL91" s="957"/>
      <c r="AM91" s="957"/>
      <c r="AN91" s="957"/>
      <c r="AW91" s="1211"/>
      <c r="AX91" s="1211"/>
    </row>
    <row r="92" spans="29:50" ht="12.75">
      <c r="AC92" s="1211"/>
      <c r="AD92" s="1211"/>
      <c r="AE92" s="1211"/>
      <c r="AF92" s="1211"/>
      <c r="AG92" s="1211"/>
      <c r="AH92" s="1211"/>
      <c r="AI92" s="1211"/>
      <c r="AJ92" s="1211"/>
      <c r="AK92" s="1211"/>
      <c r="AL92" s="957"/>
      <c r="AM92" s="957"/>
      <c r="AN92" s="957"/>
      <c r="AW92" s="1211"/>
      <c r="AX92" s="1211"/>
    </row>
    <row r="93" spans="29:50" ht="12.75">
      <c r="AC93" s="1211"/>
      <c r="AD93" s="1211"/>
      <c r="AE93" s="1211"/>
      <c r="AF93" s="1211"/>
      <c r="AG93" s="1211"/>
      <c r="AH93" s="1211"/>
      <c r="AI93" s="1211"/>
      <c r="AJ93" s="1211"/>
      <c r="AK93" s="1211"/>
      <c r="AL93" s="957"/>
      <c r="AM93" s="957"/>
      <c r="AN93" s="957"/>
      <c r="AW93" s="957"/>
      <c r="AX93" s="957"/>
    </row>
    <row r="94" spans="29:50" ht="12.75">
      <c r="AC94" s="957"/>
      <c r="AD94" s="957"/>
      <c r="AE94" s="957"/>
      <c r="AF94" s="957"/>
      <c r="AG94" s="957"/>
      <c r="AH94" s="957"/>
      <c r="AI94" s="957"/>
      <c r="AJ94" s="957"/>
      <c r="AK94" s="957"/>
      <c r="AL94" s="957"/>
      <c r="AM94" s="957"/>
      <c r="AN94" s="957"/>
      <c r="AW94" s="957"/>
      <c r="AX94" s="957"/>
    </row>
    <row r="95" spans="29:50" ht="12.75">
      <c r="AC95" s="957"/>
      <c r="AD95" s="957"/>
      <c r="AE95" s="957"/>
      <c r="AF95" s="957"/>
      <c r="AG95" s="957"/>
      <c r="AH95" s="957"/>
      <c r="AI95" s="957"/>
      <c r="AJ95" s="957"/>
      <c r="AK95" s="957"/>
      <c r="AL95" s="957"/>
      <c r="AM95" s="957"/>
      <c r="AN95" s="957"/>
      <c r="AW95" s="957"/>
      <c r="AX95" s="957"/>
    </row>
    <row r="96" spans="29:50" ht="12.75">
      <c r="AC96" s="957"/>
      <c r="AD96" s="957"/>
      <c r="AE96" s="957"/>
      <c r="AF96" s="957"/>
      <c r="AG96" s="957"/>
      <c r="AH96" s="957"/>
      <c r="AI96" s="957"/>
      <c r="AJ96" s="957"/>
      <c r="AK96" s="957"/>
      <c r="AL96" s="957"/>
      <c r="AM96" s="957"/>
      <c r="AN96" s="957"/>
      <c r="AW96" s="957"/>
      <c r="AX96" s="957"/>
    </row>
    <row r="97" spans="29:50" ht="12.75">
      <c r="AC97" s="957"/>
      <c r="AD97" s="957"/>
      <c r="AE97" s="957"/>
      <c r="AF97" s="957"/>
      <c r="AG97" s="957"/>
      <c r="AH97" s="957"/>
      <c r="AI97" s="957"/>
      <c r="AJ97" s="957"/>
      <c r="AK97" s="957"/>
      <c r="AL97" s="957"/>
      <c r="AM97" s="957"/>
      <c r="AN97" s="957"/>
      <c r="AW97" s="957"/>
      <c r="AX97" s="957"/>
    </row>
    <row r="98" spans="1:84" s="959" customFormat="1" ht="12.75">
      <c r="A98" s="956"/>
      <c r="B98" s="956"/>
      <c r="C98" s="956"/>
      <c r="D98" s="956"/>
      <c r="E98" s="957"/>
      <c r="F98" s="957"/>
      <c r="G98" s="957"/>
      <c r="H98" s="957"/>
      <c r="I98" s="957"/>
      <c r="J98" s="957"/>
      <c r="K98" s="957"/>
      <c r="L98" s="957"/>
      <c r="M98" s="957"/>
      <c r="N98" s="957"/>
      <c r="O98" s="957"/>
      <c r="P98" s="957"/>
      <c r="Q98" s="957"/>
      <c r="R98" s="957"/>
      <c r="S98" s="957"/>
      <c r="T98" s="957"/>
      <c r="U98" s="957"/>
      <c r="V98" s="957"/>
      <c r="W98" s="957"/>
      <c r="X98" s="957"/>
      <c r="Y98" s="957"/>
      <c r="Z98" s="957"/>
      <c r="AA98" s="957"/>
      <c r="AB98" s="957"/>
      <c r="AC98" s="957"/>
      <c r="AD98" s="957"/>
      <c r="AE98" s="957"/>
      <c r="AF98" s="957"/>
      <c r="AG98" s="957"/>
      <c r="AH98" s="957"/>
      <c r="AI98" s="957"/>
      <c r="AJ98" s="957"/>
      <c r="AK98" s="957"/>
      <c r="AL98" s="957"/>
      <c r="AM98" s="957"/>
      <c r="AN98" s="957"/>
      <c r="AQ98" s="956"/>
      <c r="AR98" s="956"/>
      <c r="AS98" s="956"/>
      <c r="AT98" s="956"/>
      <c r="AU98" s="956"/>
      <c r="AV98" s="956"/>
      <c r="AW98" s="956"/>
      <c r="AX98" s="956"/>
      <c r="AY98" s="956"/>
      <c r="AZ98" s="956"/>
      <c r="BA98" s="956"/>
      <c r="BB98" s="956"/>
      <c r="BC98" s="956"/>
      <c r="BD98" s="956"/>
      <c r="BE98" s="956"/>
      <c r="BF98" s="956"/>
      <c r="BG98" s="956"/>
      <c r="BH98" s="956"/>
      <c r="BI98" s="956"/>
      <c r="BJ98" s="956"/>
      <c r="BK98" s="956"/>
      <c r="BL98" s="956"/>
      <c r="BM98" s="956"/>
      <c r="BN98" s="956"/>
      <c r="BO98" s="956"/>
      <c r="BP98" s="956"/>
      <c r="BQ98" s="956"/>
      <c r="BR98" s="956"/>
      <c r="BS98" s="956"/>
      <c r="BT98" s="956"/>
      <c r="BU98" s="956"/>
      <c r="BV98" s="956"/>
      <c r="BW98" s="956"/>
      <c r="BX98" s="956"/>
      <c r="BY98" s="956"/>
      <c r="BZ98" s="956"/>
      <c r="CA98" s="956"/>
      <c r="CB98" s="956"/>
      <c r="CC98" s="956"/>
      <c r="CD98" s="956"/>
      <c r="CE98" s="956"/>
      <c r="CF98" s="956"/>
    </row>
  </sheetData>
  <sheetProtection/>
  <mergeCells count="11">
    <mergeCell ref="A34:B34"/>
    <mergeCell ref="A36:B36"/>
    <mergeCell ref="C52:D52"/>
    <mergeCell ref="AO52:AP52"/>
    <mergeCell ref="C63:D63"/>
    <mergeCell ref="C64:D64"/>
    <mergeCell ref="AO64:AP64"/>
    <mergeCell ref="C51:D51"/>
    <mergeCell ref="C10:D10"/>
    <mergeCell ref="C11:D11"/>
    <mergeCell ref="AO11:AP11"/>
  </mergeCells>
  <conditionalFormatting sqref="A49:A50 AE58:AK61 A70:A72 A62 AS58:AX61 AE43:AF43 AG43:AK44 AE40:AK41 AX40:AX44 A37 A40:A41 AS43:AW44 AS40:AW41 AW39 AR58:AR60 B37:B41">
    <cfRule type="cellIs" priority="2" dxfId="0" operator="equal" stopIfTrue="1">
      <formula>0</formula>
    </cfRule>
  </conditionalFormatting>
  <conditionalFormatting sqref="AR6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5" r:id="rId4"/>
  <headerFooter alignWithMargins="0">
    <oddFooter>&amp;CPage 6</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3:BI88"/>
  <sheetViews>
    <sheetView workbookViewId="0" topLeftCell="A1">
      <selection activeCell="A1" sqref="A1"/>
    </sheetView>
  </sheetViews>
  <sheetFormatPr defaultColWidth="9.140625" defaultRowHeight="12.75"/>
  <cols>
    <col min="1" max="1" width="2.7109375" style="0" customWidth="1"/>
    <col min="2" max="2" width="45.7109375" style="0" customWidth="1"/>
    <col min="3" max="3" width="10.7109375" style="0" customWidth="1"/>
    <col min="4" max="4" width="10.140625" style="0" customWidth="1"/>
    <col min="5" max="5" width="1.57421875" style="3" customWidth="1"/>
    <col min="6" max="6" width="9.140625" style="3" hidden="1" customWidth="1"/>
    <col min="7" max="8" width="9.140625" style="3" customWidth="1"/>
    <col min="9" max="9" width="8.57421875" style="3" customWidth="1"/>
    <col min="10" max="11" width="9.140625" style="3" customWidth="1"/>
    <col min="12" max="12" width="8.421875" style="3" customWidth="1"/>
    <col min="13" max="15" width="8.57421875" style="3" customWidth="1"/>
    <col min="16" max="16" width="9.140625" style="3" hidden="1" customWidth="1"/>
    <col min="17" max="26" width="8.57421875" style="3" hidden="1" customWidth="1"/>
    <col min="27" max="28" width="9.7109375" style="3" hidden="1" customWidth="1"/>
    <col min="29" max="37" width="9.7109375" style="0" hidden="1" customWidth="1"/>
    <col min="38" max="38" width="1.57421875" style="0" customWidth="1"/>
    <col min="39" max="40" width="9.8515625" style="0" customWidth="1"/>
    <col min="41" max="41" width="10.7109375" style="107" customWidth="1"/>
    <col min="42" max="42" width="9.8515625" style="107" customWidth="1"/>
    <col min="43" max="43" width="1.57421875" style="0" customWidth="1"/>
    <col min="44" max="46" width="9.7109375" style="107" customWidth="1"/>
    <col min="47" max="47" width="9.28125" style="0" customWidth="1"/>
    <col min="48" max="48" width="9.7109375" style="0" customWidth="1"/>
    <col min="49" max="53" width="9.7109375" style="0" hidden="1" customWidth="1"/>
    <col min="54" max="54" width="1.57421875" style="0" customWidth="1"/>
  </cols>
  <sheetData>
    <row r="1" ht="12.75"/>
    <row r="2" ht="12.75"/>
    <row r="3" spans="7:15" ht="12.75">
      <c r="G3" s="595"/>
      <c r="H3" s="555"/>
      <c r="I3" s="555"/>
      <c r="K3" s="595"/>
      <c r="L3" s="555"/>
      <c r="M3" s="555"/>
      <c r="O3" s="595"/>
    </row>
    <row r="4" spans="15:40" ht="12.75">
      <c r="O4" s="665"/>
      <c r="AN4" s="665"/>
    </row>
    <row r="5" spans="1:31" ht="12.75">
      <c r="A5" s="3"/>
      <c r="B5" s="3"/>
      <c r="C5" s="3"/>
      <c r="D5" s="3"/>
      <c r="AC5" s="3"/>
      <c r="AD5" s="3"/>
      <c r="AE5" s="3"/>
    </row>
    <row r="6" spans="1:31" ht="18" customHeight="1">
      <c r="A6" s="134" t="s">
        <v>502</v>
      </c>
      <c r="B6" s="3"/>
      <c r="C6" s="3"/>
      <c r="D6" s="3"/>
      <c r="AC6" s="3"/>
      <c r="AD6" s="3"/>
      <c r="AE6" s="3"/>
    </row>
    <row r="7" spans="1:31" ht="18" customHeight="1">
      <c r="A7" s="134" t="s">
        <v>493</v>
      </c>
      <c r="B7" s="3"/>
      <c r="C7" s="3"/>
      <c r="D7" s="3"/>
      <c r="AC7" s="3"/>
      <c r="AD7" s="3"/>
      <c r="AE7" s="3"/>
    </row>
    <row r="8" spans="1:45" ht="18" customHeight="1">
      <c r="A8" s="134" t="s">
        <v>489</v>
      </c>
      <c r="B8" s="3"/>
      <c r="C8" s="3"/>
      <c r="D8" s="3"/>
      <c r="AC8" s="3"/>
      <c r="AD8" s="3"/>
      <c r="AE8" s="3"/>
      <c r="AN8" s="595"/>
      <c r="AR8" s="899"/>
      <c r="AS8" s="899"/>
    </row>
    <row r="9" spans="1:31" ht="12.75">
      <c r="A9" s="788" t="s">
        <v>339</v>
      </c>
      <c r="B9" s="3"/>
      <c r="C9" s="3"/>
      <c r="D9" s="3"/>
      <c r="AC9" s="3"/>
      <c r="AD9" s="3"/>
      <c r="AE9" s="3"/>
    </row>
    <row r="10" spans="1:53" ht="9.75" customHeight="1">
      <c r="A10" s="2"/>
      <c r="B10" s="2"/>
      <c r="C10" s="2"/>
      <c r="D10" s="2"/>
      <c r="E10" s="2"/>
      <c r="F10" s="2"/>
      <c r="G10" s="2"/>
      <c r="H10" s="2"/>
      <c r="I10" s="2"/>
      <c r="J10" s="2"/>
      <c r="K10" s="2"/>
      <c r="L10" s="2"/>
      <c r="M10" s="2"/>
      <c r="N10" s="491"/>
      <c r="O10" s="2"/>
      <c r="P10" s="2"/>
      <c r="Q10" s="2"/>
      <c r="R10" s="491"/>
      <c r="S10" s="2"/>
      <c r="T10" s="491"/>
      <c r="U10" s="2"/>
      <c r="V10" s="491"/>
      <c r="W10" s="2"/>
      <c r="X10" s="491"/>
      <c r="Y10" s="2"/>
      <c r="Z10" s="491"/>
      <c r="AA10" s="2"/>
      <c r="AB10" s="2"/>
      <c r="AC10" s="3"/>
      <c r="AD10" s="3"/>
      <c r="AE10" s="3"/>
      <c r="AO10" s="626"/>
      <c r="AP10" s="626"/>
      <c r="AR10" s="626"/>
      <c r="AS10" s="626"/>
      <c r="AT10" s="626"/>
      <c r="AY10" s="3"/>
      <c r="AZ10" s="3"/>
      <c r="BA10" s="3"/>
    </row>
    <row r="11" spans="1:53" ht="12.75">
      <c r="A11" s="6" t="s">
        <v>1</v>
      </c>
      <c r="B11" s="7"/>
      <c r="C11" s="1437" t="s">
        <v>497</v>
      </c>
      <c r="D11" s="1438"/>
      <c r="E11" s="259"/>
      <c r="F11" s="477"/>
      <c r="G11" s="477"/>
      <c r="H11" s="1007"/>
      <c r="I11" s="1222"/>
      <c r="J11" s="1007"/>
      <c r="K11" s="1007"/>
      <c r="L11" s="1007"/>
      <c r="M11" s="1222"/>
      <c r="N11" s="1007"/>
      <c r="O11" s="1007"/>
      <c r="P11" s="1007"/>
      <c r="Q11" s="1007"/>
      <c r="R11" s="1118"/>
      <c r="S11" s="1007"/>
      <c r="T11" s="1007"/>
      <c r="U11" s="1007"/>
      <c r="V11" s="1118"/>
      <c r="W11" s="1007"/>
      <c r="X11" s="1007"/>
      <c r="Y11" s="1007"/>
      <c r="Z11" s="1118"/>
      <c r="AA11" s="1007"/>
      <c r="AB11" s="1222"/>
      <c r="AC11" s="1222"/>
      <c r="AD11" s="1222"/>
      <c r="AE11" s="1006"/>
      <c r="AF11" s="1006"/>
      <c r="AG11" s="966"/>
      <c r="AH11" s="1006"/>
      <c r="AI11" s="966"/>
      <c r="AJ11" s="966"/>
      <c r="AK11" s="1006"/>
      <c r="AL11" s="1005"/>
      <c r="AM11" s="725" t="s">
        <v>406</v>
      </c>
      <c r="AN11" s="711"/>
      <c r="AO11" s="711" t="s">
        <v>480</v>
      </c>
      <c r="AP11" s="712"/>
      <c r="AQ11" s="15"/>
      <c r="AR11" s="669"/>
      <c r="AS11" s="669"/>
      <c r="AT11" s="669"/>
      <c r="AU11" s="88"/>
      <c r="AV11" s="88"/>
      <c r="AW11" s="22"/>
      <c r="AX11" s="22"/>
      <c r="AY11" s="88"/>
      <c r="AZ11" s="88"/>
      <c r="BA11" s="88"/>
    </row>
    <row r="12" spans="1:61" ht="13.5">
      <c r="A12" s="6" t="s">
        <v>2</v>
      </c>
      <c r="B12" s="7"/>
      <c r="C12" s="1439" t="s">
        <v>41</v>
      </c>
      <c r="D12" s="1440"/>
      <c r="E12" s="603"/>
      <c r="F12" s="21"/>
      <c r="G12" s="978" t="s">
        <v>430</v>
      </c>
      <c r="H12" s="978" t="s">
        <v>429</v>
      </c>
      <c r="I12" s="979" t="s">
        <v>427</v>
      </c>
      <c r="J12" s="978" t="s">
        <v>362</v>
      </c>
      <c r="K12" s="978" t="s">
        <v>363</v>
      </c>
      <c r="L12" s="978" t="s">
        <v>364</v>
      </c>
      <c r="M12" s="979" t="s">
        <v>365</v>
      </c>
      <c r="N12" s="978" t="s">
        <v>277</v>
      </c>
      <c r="O12" s="978" t="s">
        <v>278</v>
      </c>
      <c r="P12" s="978" t="s">
        <v>279</v>
      </c>
      <c r="Q12" s="979" t="s">
        <v>276</v>
      </c>
      <c r="R12" s="980" t="s">
        <v>222</v>
      </c>
      <c r="S12" s="978" t="s">
        <v>223</v>
      </c>
      <c r="T12" s="978" t="s">
        <v>224</v>
      </c>
      <c r="U12" s="978" t="e">
        <v>#REF!</v>
      </c>
      <c r="V12" s="980" t="s">
        <v>141</v>
      </c>
      <c r="W12" s="978" t="s">
        <v>140</v>
      </c>
      <c r="X12" s="978" t="s">
        <v>139</v>
      </c>
      <c r="Y12" s="978" t="s">
        <v>138</v>
      </c>
      <c r="Z12" s="980" t="s">
        <v>91</v>
      </c>
      <c r="AA12" s="978" t="s">
        <v>92</v>
      </c>
      <c r="AB12" s="979" t="s">
        <v>93</v>
      </c>
      <c r="AC12" s="979" t="s">
        <v>32</v>
      </c>
      <c r="AD12" s="979" t="s">
        <v>32</v>
      </c>
      <c r="AE12" s="1006"/>
      <c r="AF12" s="1006"/>
      <c r="AG12" s="966"/>
      <c r="AH12" s="1006"/>
      <c r="AI12" s="966"/>
      <c r="AJ12" s="966"/>
      <c r="AK12" s="1006"/>
      <c r="AL12" s="1005"/>
      <c r="AM12" s="21" t="s">
        <v>430</v>
      </c>
      <c r="AN12" s="21" t="s">
        <v>363</v>
      </c>
      <c r="AO12" s="1454" t="s">
        <v>41</v>
      </c>
      <c r="AP12" s="1440"/>
      <c r="AQ12" s="731"/>
      <c r="AR12" s="20" t="s">
        <v>367</v>
      </c>
      <c r="AS12" s="20" t="s">
        <v>285</v>
      </c>
      <c r="AT12" s="20" t="s">
        <v>143</v>
      </c>
      <c r="AU12" s="20" t="s">
        <v>142</v>
      </c>
      <c r="AV12" s="23" t="s">
        <v>45</v>
      </c>
      <c r="AW12" s="23" t="s">
        <v>42</v>
      </c>
      <c r="AX12" s="23" t="s">
        <v>43</v>
      </c>
      <c r="AY12" s="23" t="s">
        <v>165</v>
      </c>
      <c r="AZ12" s="23" t="s">
        <v>166</v>
      </c>
      <c r="BA12" s="23" t="s">
        <v>167</v>
      </c>
      <c r="BB12" s="3"/>
      <c r="BC12" s="3"/>
      <c r="BD12" s="3"/>
      <c r="BG12" s="3"/>
      <c r="BH12" s="3"/>
      <c r="BI12" s="3"/>
    </row>
    <row r="13" spans="1:61" ht="12.75">
      <c r="A13" s="6"/>
      <c r="B13" s="7"/>
      <c r="C13" s="694"/>
      <c r="D13" s="732"/>
      <c r="E13" s="730"/>
      <c r="F13" s="697"/>
      <c r="G13" s="986" t="s">
        <v>307</v>
      </c>
      <c r="H13" s="697" t="s">
        <v>307</v>
      </c>
      <c r="I13" s="698" t="s">
        <v>307</v>
      </c>
      <c r="J13" s="697" t="s">
        <v>307</v>
      </c>
      <c r="K13" s="697" t="s">
        <v>307</v>
      </c>
      <c r="L13" s="697" t="s">
        <v>307</v>
      </c>
      <c r="M13" s="698" t="s">
        <v>307</v>
      </c>
      <c r="N13" s="696" t="s">
        <v>307</v>
      </c>
      <c r="O13" s="697" t="s">
        <v>307</v>
      </c>
      <c r="P13" s="697" t="s">
        <v>307</v>
      </c>
      <c r="Q13" s="698" t="s">
        <v>307</v>
      </c>
      <c r="R13" s="696" t="s">
        <v>307</v>
      </c>
      <c r="S13" s="697" t="s">
        <v>307</v>
      </c>
      <c r="T13" s="697" t="s">
        <v>307</v>
      </c>
      <c r="U13" s="698" t="s">
        <v>307</v>
      </c>
      <c r="V13" s="696" t="s">
        <v>308</v>
      </c>
      <c r="W13" s="697" t="s">
        <v>308</v>
      </c>
      <c r="X13" s="697" t="s">
        <v>308</v>
      </c>
      <c r="Y13" s="698" t="s">
        <v>308</v>
      </c>
      <c r="Z13" s="15"/>
      <c r="AA13" s="15"/>
      <c r="AB13" s="15"/>
      <c r="AC13" s="233"/>
      <c r="AD13" s="15"/>
      <c r="AE13" s="15"/>
      <c r="AF13" s="15"/>
      <c r="AG13" s="15"/>
      <c r="AH13" s="259"/>
      <c r="AI13" s="233"/>
      <c r="AJ13" s="233"/>
      <c r="AK13" s="233"/>
      <c r="AL13" s="259"/>
      <c r="AM13" s="697" t="s">
        <v>307</v>
      </c>
      <c r="AN13" s="697" t="s">
        <v>307</v>
      </c>
      <c r="AO13" s="713"/>
      <c r="AP13" s="714"/>
      <c r="AQ13" s="731"/>
      <c r="AR13" s="696" t="s">
        <v>307</v>
      </c>
      <c r="AS13" s="696" t="s">
        <v>307</v>
      </c>
      <c r="AT13" s="696" t="s">
        <v>307</v>
      </c>
      <c r="AU13" s="696" t="s">
        <v>308</v>
      </c>
      <c r="AV13" s="699" t="s">
        <v>308</v>
      </c>
      <c r="AW13" s="699" t="s">
        <v>308</v>
      </c>
      <c r="AX13" s="699" t="s">
        <v>308</v>
      </c>
      <c r="AY13" s="259"/>
      <c r="AZ13" s="259"/>
      <c r="BA13" s="259"/>
      <c r="BB13" s="3"/>
      <c r="BC13" s="3"/>
      <c r="BD13" s="3"/>
      <c r="BG13" s="3"/>
      <c r="BH13" s="3"/>
      <c r="BI13" s="3"/>
    </row>
    <row r="14" spans="1:59" ht="12.75" customHeight="1">
      <c r="A14" s="142" t="s">
        <v>68</v>
      </c>
      <c r="B14" s="8"/>
      <c r="C14" s="164"/>
      <c r="D14" s="166"/>
      <c r="E14" s="89"/>
      <c r="F14" s="7"/>
      <c r="G14" s="7"/>
      <c r="H14" s="7"/>
      <c r="I14" s="479"/>
      <c r="J14" s="7"/>
      <c r="K14" s="7"/>
      <c r="L14" s="7"/>
      <c r="M14" s="479"/>
      <c r="N14" s="148"/>
      <c r="O14" s="7"/>
      <c r="P14" s="7"/>
      <c r="Q14" s="479"/>
      <c r="R14" s="148"/>
      <c r="S14" s="7"/>
      <c r="T14" s="7"/>
      <c r="U14" s="479"/>
      <c r="V14" s="148"/>
      <c r="W14" s="7"/>
      <c r="X14" s="7"/>
      <c r="Y14" s="479"/>
      <c r="Z14" s="148"/>
      <c r="AA14" s="7"/>
      <c r="AB14" s="7"/>
      <c r="AC14" s="479"/>
      <c r="AD14" s="195"/>
      <c r="AE14" s="148"/>
      <c r="AF14" s="148"/>
      <c r="AG14" s="166"/>
      <c r="AH14" s="194"/>
      <c r="AI14" s="166"/>
      <c r="AJ14" s="166"/>
      <c r="AK14" s="165"/>
      <c r="AL14" s="89"/>
      <c r="AM14" s="196"/>
      <c r="AN14" s="195"/>
      <c r="AO14" s="723"/>
      <c r="AP14" s="658"/>
      <c r="AQ14" s="83"/>
      <c r="AR14" s="646"/>
      <c r="AS14" s="646"/>
      <c r="AT14" s="646"/>
      <c r="AU14" s="89"/>
      <c r="AV14" s="89"/>
      <c r="AW14" s="89"/>
      <c r="AX14" s="89"/>
      <c r="AY14" s="360"/>
      <c r="AZ14" s="360"/>
      <c r="BA14" s="360"/>
      <c r="BB14" s="3"/>
      <c r="BC14" s="3"/>
      <c r="BD14" s="3"/>
      <c r="BG14" s="3"/>
    </row>
    <row r="15" spans="1:59" ht="12.75" customHeight="1">
      <c r="A15" s="7"/>
      <c r="B15" s="83" t="s">
        <v>219</v>
      </c>
      <c r="C15" s="242">
        <v>7374</v>
      </c>
      <c r="D15" s="30">
        <v>1.0356741573033708</v>
      </c>
      <c r="E15" s="592"/>
      <c r="F15" s="234"/>
      <c r="G15" s="234">
        <v>14494</v>
      </c>
      <c r="H15" s="234">
        <v>7549</v>
      </c>
      <c r="I15" s="238">
        <v>4109</v>
      </c>
      <c r="J15" s="234">
        <v>5127</v>
      </c>
      <c r="K15" s="234">
        <v>7120</v>
      </c>
      <c r="L15" s="234">
        <v>5004</v>
      </c>
      <c r="M15" s="238">
        <v>4563</v>
      </c>
      <c r="N15" s="237">
        <v>3713</v>
      </c>
      <c r="O15" s="234">
        <v>6694</v>
      </c>
      <c r="P15" s="234">
        <v>-167</v>
      </c>
      <c r="Q15" s="238">
        <v>252</v>
      </c>
      <c r="R15" s="237">
        <v>603</v>
      </c>
      <c r="S15" s="234">
        <v>416</v>
      </c>
      <c r="T15" s="234">
        <v>361</v>
      </c>
      <c r="U15" s="238">
        <v>-152</v>
      </c>
      <c r="V15" s="239">
        <v>3494</v>
      </c>
      <c r="W15" s="234">
        <v>333</v>
      </c>
      <c r="X15" s="240" t="e">
        <v>#REF!</v>
      </c>
      <c r="Y15" s="241" t="e">
        <v>#REF!</v>
      </c>
      <c r="Z15" s="234" t="e">
        <v>#REF!</v>
      </c>
      <c r="AA15" s="234" t="e">
        <v>#REF!</v>
      </c>
      <c r="AB15" s="234" t="e">
        <v>#REF!</v>
      </c>
      <c r="AC15" s="238" t="e">
        <v>#REF!</v>
      </c>
      <c r="AD15" s="234" t="e">
        <v>#REF!</v>
      </c>
      <c r="AE15" s="234" t="e">
        <v>#REF!</v>
      </c>
      <c r="AF15" s="234" t="e">
        <v>#REF!</v>
      </c>
      <c r="AG15" s="238" t="e">
        <v>#REF!</v>
      </c>
      <c r="AH15" s="201" t="e">
        <v>#REF!</v>
      </c>
      <c r="AI15" s="241" t="e">
        <v>#REF!</v>
      </c>
      <c r="AJ15" s="238" t="e">
        <v>#REF!</v>
      </c>
      <c r="AK15" s="234" t="e">
        <v>#REF!</v>
      </c>
      <c r="AL15" s="203"/>
      <c r="AM15" s="738">
        <v>26152</v>
      </c>
      <c r="AN15" s="683">
        <v>16687</v>
      </c>
      <c r="AO15" s="254">
        <v>9465</v>
      </c>
      <c r="AP15" s="30">
        <v>0.5672080062323964</v>
      </c>
      <c r="AQ15" s="245"/>
      <c r="AR15" s="201">
        <v>21814</v>
      </c>
      <c r="AS15" s="201">
        <v>10492</v>
      </c>
      <c r="AT15" s="201">
        <v>1228</v>
      </c>
      <c r="AU15" s="238">
        <v>5894</v>
      </c>
      <c r="AV15" s="201">
        <v>6781</v>
      </c>
      <c r="AW15" s="201">
        <v>9937</v>
      </c>
      <c r="AX15" s="238">
        <v>15897</v>
      </c>
      <c r="AY15" s="43">
        <v>125900</v>
      </c>
      <c r="AZ15" s="43">
        <v>116090</v>
      </c>
      <c r="BA15" s="43">
        <v>84489</v>
      </c>
      <c r="BB15" s="3"/>
      <c r="BC15" s="3"/>
      <c r="BD15" s="3"/>
      <c r="BG15" s="3"/>
    </row>
    <row r="16" spans="1:59" ht="12.75" customHeight="1">
      <c r="A16" s="7"/>
      <c r="B16" s="83" t="s">
        <v>413</v>
      </c>
      <c r="C16" s="242">
        <v>1303</v>
      </c>
      <c r="D16" s="30" t="s">
        <v>44</v>
      </c>
      <c r="E16" s="592"/>
      <c r="F16" s="234"/>
      <c r="G16" s="234">
        <v>1481</v>
      </c>
      <c r="H16" s="234">
        <v>942</v>
      </c>
      <c r="I16" s="241">
        <v>755</v>
      </c>
      <c r="J16" s="234">
        <v>1298</v>
      </c>
      <c r="K16" s="234">
        <v>178</v>
      </c>
      <c r="L16" s="234">
        <v>1153</v>
      </c>
      <c r="M16" s="241">
        <v>844</v>
      </c>
      <c r="N16" s="31">
        <v>0</v>
      </c>
      <c r="O16" s="31">
        <v>0</v>
      </c>
      <c r="P16" s="31">
        <v>0</v>
      </c>
      <c r="Q16" s="28">
        <v>0</v>
      </c>
      <c r="R16" s="38">
        <v>0</v>
      </c>
      <c r="S16" s="31">
        <v>0</v>
      </c>
      <c r="T16" s="31">
        <v>0</v>
      </c>
      <c r="U16" s="28">
        <v>0</v>
      </c>
      <c r="V16" s="240"/>
      <c r="W16" s="234"/>
      <c r="X16" s="240"/>
      <c r="Y16" s="241"/>
      <c r="Z16" s="234"/>
      <c r="AA16" s="234"/>
      <c r="AB16" s="234"/>
      <c r="AC16" s="238"/>
      <c r="AD16" s="234"/>
      <c r="AE16" s="234"/>
      <c r="AF16" s="234"/>
      <c r="AG16" s="238"/>
      <c r="AH16" s="201"/>
      <c r="AI16" s="241"/>
      <c r="AJ16" s="238"/>
      <c r="AK16" s="234"/>
      <c r="AL16" s="203"/>
      <c r="AM16" s="738">
        <v>3178</v>
      </c>
      <c r="AN16" s="683">
        <v>2175</v>
      </c>
      <c r="AO16" s="254">
        <v>1003</v>
      </c>
      <c r="AP16" s="30">
        <v>0.4611494252873563</v>
      </c>
      <c r="AQ16" s="245"/>
      <c r="AR16" s="201">
        <v>3473</v>
      </c>
      <c r="AS16" s="215">
        <v>0</v>
      </c>
      <c r="AT16" s="215">
        <v>0</v>
      </c>
      <c r="AU16" s="215">
        <v>0</v>
      </c>
      <c r="AV16" s="204">
        <v>0</v>
      </c>
      <c r="AW16" s="752">
        <v>0</v>
      </c>
      <c r="AX16" s="238"/>
      <c r="AY16" s="43"/>
      <c r="AZ16" s="43"/>
      <c r="BA16" s="43"/>
      <c r="BB16" s="3"/>
      <c r="BC16" s="3"/>
      <c r="BD16" s="3"/>
      <c r="BG16" s="3"/>
    </row>
    <row r="17" spans="1:59" ht="12.75" customHeight="1">
      <c r="A17" s="8"/>
      <c r="B17" s="7"/>
      <c r="C17" s="246">
        <v>8677</v>
      </c>
      <c r="D17" s="170">
        <v>1.1889558783228282</v>
      </c>
      <c r="E17" s="592"/>
      <c r="F17" s="248"/>
      <c r="G17" s="248">
        <v>15975</v>
      </c>
      <c r="H17" s="248">
        <v>8491</v>
      </c>
      <c r="I17" s="249">
        <v>4864</v>
      </c>
      <c r="J17" s="248">
        <v>6425</v>
      </c>
      <c r="K17" s="248">
        <v>7298</v>
      </c>
      <c r="L17" s="248">
        <v>6157</v>
      </c>
      <c r="M17" s="249">
        <v>5407</v>
      </c>
      <c r="N17" s="248">
        <v>3713</v>
      </c>
      <c r="O17" s="248">
        <v>6694</v>
      </c>
      <c r="P17" s="248">
        <v>-167</v>
      </c>
      <c r="Q17" s="249">
        <v>252</v>
      </c>
      <c r="R17" s="248">
        <v>603</v>
      </c>
      <c r="S17" s="248">
        <v>416</v>
      </c>
      <c r="T17" s="248">
        <v>361</v>
      </c>
      <c r="U17" s="249">
        <v>-152</v>
      </c>
      <c r="V17" s="248">
        <v>3494</v>
      </c>
      <c r="W17" s="248">
        <v>333</v>
      </c>
      <c r="X17" s="248" t="e">
        <v>#REF!</v>
      </c>
      <c r="Y17" s="249" t="e">
        <v>#REF!</v>
      </c>
      <c r="Z17" s="248" t="e">
        <v>#REF!</v>
      </c>
      <c r="AA17" s="248" t="e">
        <v>#REF!</v>
      </c>
      <c r="AB17" s="248" t="e">
        <v>#REF!</v>
      </c>
      <c r="AC17" s="249" t="e">
        <v>#REF!</v>
      </c>
      <c r="AD17" s="248" t="e">
        <v>#REF!</v>
      </c>
      <c r="AE17" s="248" t="e">
        <v>#REF!</v>
      </c>
      <c r="AF17" s="248" t="e">
        <v>#REF!</v>
      </c>
      <c r="AG17" s="249" t="e">
        <v>#REF!</v>
      </c>
      <c r="AH17" s="202" t="e">
        <v>#REF!</v>
      </c>
      <c r="AI17" s="249" t="e">
        <v>#REF!</v>
      </c>
      <c r="AJ17" s="249" t="e">
        <v>#REF!</v>
      </c>
      <c r="AK17" s="248" t="e">
        <v>#REF!</v>
      </c>
      <c r="AL17" s="203"/>
      <c r="AM17" s="246">
        <v>29330</v>
      </c>
      <c r="AN17" s="381">
        <v>18862</v>
      </c>
      <c r="AO17" s="381">
        <v>10468</v>
      </c>
      <c r="AP17" s="170">
        <v>0.5549782631746368</v>
      </c>
      <c r="AQ17" s="245"/>
      <c r="AR17" s="386">
        <v>25287</v>
      </c>
      <c r="AS17" s="386">
        <v>10492</v>
      </c>
      <c r="AT17" s="386">
        <v>1228</v>
      </c>
      <c r="AU17" s="202">
        <v>5894</v>
      </c>
      <c r="AV17" s="202">
        <v>6781</v>
      </c>
      <c r="AW17" s="202">
        <v>9937</v>
      </c>
      <c r="AX17" s="202">
        <v>15897</v>
      </c>
      <c r="AY17" s="355">
        <v>125900</v>
      </c>
      <c r="AZ17" s="355">
        <v>116090</v>
      </c>
      <c r="BA17" s="355">
        <v>84489</v>
      </c>
      <c r="BB17" s="3"/>
      <c r="BC17" s="3"/>
      <c r="BD17" s="3"/>
      <c r="BG17" s="3"/>
    </row>
    <row r="18" spans="1:59" ht="12.75" customHeight="1">
      <c r="A18" s="142" t="s">
        <v>5</v>
      </c>
      <c r="B18" s="7"/>
      <c r="C18" s="242"/>
      <c r="D18" s="30"/>
      <c r="E18" s="592"/>
      <c r="F18" s="234"/>
      <c r="G18" s="234"/>
      <c r="H18" s="234"/>
      <c r="I18" s="238"/>
      <c r="J18" s="234"/>
      <c r="K18" s="234"/>
      <c r="L18" s="234"/>
      <c r="M18" s="238"/>
      <c r="N18" s="234"/>
      <c r="O18" s="234"/>
      <c r="P18" s="234"/>
      <c r="Q18" s="238"/>
      <c r="R18" s="234"/>
      <c r="S18" s="234"/>
      <c r="T18" s="234"/>
      <c r="U18" s="238"/>
      <c r="V18" s="234"/>
      <c r="W18" s="234"/>
      <c r="X18" s="234"/>
      <c r="Y18" s="238"/>
      <c r="Z18" s="234"/>
      <c r="AA18" s="234"/>
      <c r="AB18" s="234"/>
      <c r="AC18" s="238"/>
      <c r="AD18" s="234"/>
      <c r="AE18" s="234"/>
      <c r="AF18" s="234"/>
      <c r="AG18" s="238"/>
      <c r="AH18" s="201"/>
      <c r="AI18" s="238"/>
      <c r="AJ18" s="238"/>
      <c r="AK18" s="238"/>
      <c r="AL18" s="203"/>
      <c r="AM18" s="244"/>
      <c r="AN18" s="243"/>
      <c r="AO18" s="254"/>
      <c r="AP18" s="30"/>
      <c r="AQ18" s="245"/>
      <c r="AR18" s="379"/>
      <c r="AS18" s="379"/>
      <c r="AT18" s="379"/>
      <c r="AU18" s="203"/>
      <c r="AV18" s="203"/>
      <c r="AW18" s="201"/>
      <c r="AX18" s="201"/>
      <c r="AY18" s="43"/>
      <c r="AZ18" s="43"/>
      <c r="BA18" s="43"/>
      <c r="BB18" s="3"/>
      <c r="BC18" s="3"/>
      <c r="BD18" s="3"/>
      <c r="BG18" s="3"/>
    </row>
    <row r="19" spans="1:59" ht="12.75" customHeight="1">
      <c r="A19" s="142"/>
      <c r="B19" s="7" t="s">
        <v>399</v>
      </c>
      <c r="C19" s="242">
        <v>4342</v>
      </c>
      <c r="D19" s="30">
        <v>0.9929110450491654</v>
      </c>
      <c r="E19" s="592"/>
      <c r="F19" s="234"/>
      <c r="G19" s="234">
        <v>8715</v>
      </c>
      <c r="H19" s="234">
        <v>4407</v>
      </c>
      <c r="I19" s="238">
        <v>3869</v>
      </c>
      <c r="J19" s="234">
        <v>4588</v>
      </c>
      <c r="K19" s="234">
        <v>4373</v>
      </c>
      <c r="L19" s="234">
        <v>2709</v>
      </c>
      <c r="M19" s="238">
        <v>3594</v>
      </c>
      <c r="N19" s="234">
        <v>2109</v>
      </c>
      <c r="O19" s="234">
        <v>2704</v>
      </c>
      <c r="P19" s="234">
        <v>613</v>
      </c>
      <c r="Q19" s="238">
        <v>-1</v>
      </c>
      <c r="R19" s="234">
        <v>106</v>
      </c>
      <c r="S19" s="234">
        <v>7</v>
      </c>
      <c r="T19" s="234">
        <v>-2</v>
      </c>
      <c r="U19" s="238"/>
      <c r="V19" s="234"/>
      <c r="W19" s="234"/>
      <c r="X19" s="234"/>
      <c r="Y19" s="238"/>
      <c r="Z19" s="234"/>
      <c r="AA19" s="234"/>
      <c r="AB19" s="234"/>
      <c r="AC19" s="238"/>
      <c r="AD19" s="234"/>
      <c r="AE19" s="234"/>
      <c r="AF19" s="234"/>
      <c r="AG19" s="238"/>
      <c r="AH19" s="201"/>
      <c r="AI19" s="238"/>
      <c r="AJ19" s="238"/>
      <c r="AK19" s="238"/>
      <c r="AL19" s="203"/>
      <c r="AM19" s="586">
        <v>16991</v>
      </c>
      <c r="AN19" s="683">
        <v>10676</v>
      </c>
      <c r="AO19" s="254">
        <v>6315</v>
      </c>
      <c r="AP19" s="30">
        <v>0.5915136755339079</v>
      </c>
      <c r="AQ19" s="245"/>
      <c r="AR19" s="379">
        <v>15264</v>
      </c>
      <c r="AS19" s="379">
        <v>5425</v>
      </c>
      <c r="AT19" s="379">
        <v>109</v>
      </c>
      <c r="AU19" s="379">
        <v>2225</v>
      </c>
      <c r="AV19" s="304">
        <v>3522</v>
      </c>
      <c r="AW19" s="304">
        <v>4944</v>
      </c>
      <c r="AX19" s="201"/>
      <c r="AY19" s="43"/>
      <c r="AZ19" s="43"/>
      <c r="BA19" s="43"/>
      <c r="BB19" s="3"/>
      <c r="BC19" s="3"/>
      <c r="BD19" s="3"/>
      <c r="BG19" s="3"/>
    </row>
    <row r="20" spans="1:59" ht="12.75" customHeight="1">
      <c r="A20" s="142"/>
      <c r="B20" s="7" t="s">
        <v>400</v>
      </c>
      <c r="C20" s="250">
        <v>-232</v>
      </c>
      <c r="D20" s="149">
        <v>-0.862453531598513</v>
      </c>
      <c r="E20" s="592"/>
      <c r="F20" s="385"/>
      <c r="G20" s="385">
        <v>37</v>
      </c>
      <c r="H20" s="385">
        <v>0</v>
      </c>
      <c r="I20" s="385">
        <v>0</v>
      </c>
      <c r="J20" s="250">
        <v>10</v>
      </c>
      <c r="K20" s="385">
        <v>269</v>
      </c>
      <c r="L20" s="385">
        <v>82</v>
      </c>
      <c r="M20" s="385">
        <v>27</v>
      </c>
      <c r="N20" s="250">
        <v>0</v>
      </c>
      <c r="O20" s="385">
        <v>0</v>
      </c>
      <c r="P20" s="385">
        <v>0</v>
      </c>
      <c r="Q20" s="486">
        <v>0</v>
      </c>
      <c r="R20" s="385">
        <v>0</v>
      </c>
      <c r="S20" s="385">
        <v>0</v>
      </c>
      <c r="T20" s="385">
        <v>0</v>
      </c>
      <c r="U20" s="238"/>
      <c r="V20" s="234"/>
      <c r="W20" s="234"/>
      <c r="X20" s="234"/>
      <c r="Y20" s="238"/>
      <c r="Z20" s="234"/>
      <c r="AA20" s="234"/>
      <c r="AB20" s="234"/>
      <c r="AC20" s="238"/>
      <c r="AD20" s="234"/>
      <c r="AE20" s="234"/>
      <c r="AF20" s="234"/>
      <c r="AG20" s="238"/>
      <c r="AH20" s="201"/>
      <c r="AI20" s="238"/>
      <c r="AJ20" s="238"/>
      <c r="AK20" s="238"/>
      <c r="AL20" s="203"/>
      <c r="AM20" s="1232">
        <v>37</v>
      </c>
      <c r="AN20" s="719">
        <v>378</v>
      </c>
      <c r="AO20" s="385">
        <v>-341</v>
      </c>
      <c r="AP20" s="149">
        <v>-0.9021164021164021</v>
      </c>
      <c r="AQ20" s="245"/>
      <c r="AR20" s="717">
        <v>388</v>
      </c>
      <c r="AS20" s="866">
        <v>0</v>
      </c>
      <c r="AT20" s="866">
        <v>0</v>
      </c>
      <c r="AU20" s="867">
        <v>45</v>
      </c>
      <c r="AV20" s="305">
        <v>413</v>
      </c>
      <c r="AW20" s="305">
        <v>396</v>
      </c>
      <c r="AX20" s="201"/>
      <c r="AY20" s="43"/>
      <c r="AZ20" s="43"/>
      <c r="BA20" s="43"/>
      <c r="BB20" s="3"/>
      <c r="BC20" s="3"/>
      <c r="BD20" s="3"/>
      <c r="BG20" s="3"/>
    </row>
    <row r="21" spans="1:59" ht="12.75" customHeight="1">
      <c r="A21" s="8"/>
      <c r="B21" s="166" t="s">
        <v>261</v>
      </c>
      <c r="C21" s="242">
        <v>4110</v>
      </c>
      <c r="D21" s="30">
        <v>0.8853942266264541</v>
      </c>
      <c r="E21" s="592"/>
      <c r="F21" s="234"/>
      <c r="G21" s="234">
        <v>8752</v>
      </c>
      <c r="H21" s="234">
        <v>4407</v>
      </c>
      <c r="I21" s="238">
        <v>3869</v>
      </c>
      <c r="J21" s="234">
        <v>4598</v>
      </c>
      <c r="K21" s="234">
        <v>4642</v>
      </c>
      <c r="L21" s="234">
        <v>2791</v>
      </c>
      <c r="M21" s="238">
        <v>3621</v>
      </c>
      <c r="N21" s="234">
        <v>2109</v>
      </c>
      <c r="O21" s="234">
        <v>2704</v>
      </c>
      <c r="P21" s="234">
        <v>613</v>
      </c>
      <c r="Q21" s="238">
        <v>-1</v>
      </c>
      <c r="R21" s="234">
        <v>106</v>
      </c>
      <c r="S21" s="234">
        <v>7</v>
      </c>
      <c r="T21" s="234">
        <v>-2</v>
      </c>
      <c r="U21" s="238">
        <v>-2</v>
      </c>
      <c r="V21" s="234">
        <v>2008</v>
      </c>
      <c r="W21" s="234">
        <v>1</v>
      </c>
      <c r="X21" s="234" t="e">
        <v>#REF!</v>
      </c>
      <c r="Y21" s="238" t="e">
        <v>#REF!</v>
      </c>
      <c r="Z21" s="234" t="e">
        <v>#REF!</v>
      </c>
      <c r="AA21" s="234" t="e">
        <v>#REF!</v>
      </c>
      <c r="AB21" s="234" t="e">
        <v>#REF!</v>
      </c>
      <c r="AC21" s="238" t="e">
        <v>#REF!</v>
      </c>
      <c r="AD21" s="234" t="e">
        <v>#REF!</v>
      </c>
      <c r="AE21" s="234" t="e">
        <v>#REF!</v>
      </c>
      <c r="AF21" s="234" t="e">
        <v>#REF!</v>
      </c>
      <c r="AG21" s="238" t="e">
        <v>#REF!</v>
      </c>
      <c r="AH21" s="257" t="e">
        <v>#REF!</v>
      </c>
      <c r="AI21" s="236" t="e">
        <v>#REF!</v>
      </c>
      <c r="AJ21" s="238" t="e">
        <v>#REF!</v>
      </c>
      <c r="AK21" s="238" t="e">
        <v>#REF!</v>
      </c>
      <c r="AL21" s="203"/>
      <c r="AM21" s="738">
        <v>17028</v>
      </c>
      <c r="AN21" s="683">
        <v>11054</v>
      </c>
      <c r="AO21" s="254">
        <v>5974</v>
      </c>
      <c r="AP21" s="30">
        <v>0.5404378505518365</v>
      </c>
      <c r="AQ21" s="245"/>
      <c r="AR21" s="379">
        <v>15652</v>
      </c>
      <c r="AS21" s="379">
        <v>5425</v>
      </c>
      <c r="AT21" s="379">
        <v>109</v>
      </c>
      <c r="AU21" s="379">
        <v>2271</v>
      </c>
      <c r="AV21" s="304">
        <v>3935</v>
      </c>
      <c r="AW21" s="304">
        <v>5340</v>
      </c>
      <c r="AX21" s="304">
        <v>4828</v>
      </c>
      <c r="AY21" s="360">
        <v>68889</v>
      </c>
      <c r="AZ21" s="360">
        <v>66027</v>
      </c>
      <c r="BA21" s="360">
        <v>53976</v>
      </c>
      <c r="BB21" s="3"/>
      <c r="BC21" s="3"/>
      <c r="BD21" s="3"/>
      <c r="BG21" s="3"/>
    </row>
    <row r="22" spans="1:59" ht="12.75" customHeight="1">
      <c r="A22" s="8"/>
      <c r="B22" s="83" t="s">
        <v>74</v>
      </c>
      <c r="C22" s="242">
        <v>-935</v>
      </c>
      <c r="D22" s="30">
        <v>-1.2878787878787878</v>
      </c>
      <c r="E22" s="592"/>
      <c r="F22" s="234"/>
      <c r="G22" s="234">
        <v>-209</v>
      </c>
      <c r="H22" s="234">
        <v>1232</v>
      </c>
      <c r="I22" s="238">
        <v>1008</v>
      </c>
      <c r="J22" s="234">
        <v>1021</v>
      </c>
      <c r="K22" s="234">
        <v>726</v>
      </c>
      <c r="L22" s="234">
        <v>623</v>
      </c>
      <c r="M22" s="238">
        <v>392</v>
      </c>
      <c r="N22" s="234">
        <v>519</v>
      </c>
      <c r="O22" s="234">
        <v>630</v>
      </c>
      <c r="P22" s="234">
        <v>174</v>
      </c>
      <c r="Q22" s="238">
        <v>985</v>
      </c>
      <c r="R22" s="234">
        <v>630</v>
      </c>
      <c r="S22" s="234">
        <v>8</v>
      </c>
      <c r="T22" s="234">
        <v>8</v>
      </c>
      <c r="U22" s="238">
        <v>7</v>
      </c>
      <c r="V22" s="234">
        <v>11</v>
      </c>
      <c r="W22" s="234">
        <v>8</v>
      </c>
      <c r="X22" s="234" t="e">
        <v>#REF!</v>
      </c>
      <c r="Y22" s="238" t="e">
        <v>#REF!</v>
      </c>
      <c r="Z22" s="234" t="e">
        <v>#REF!</v>
      </c>
      <c r="AA22" s="234" t="e">
        <v>#REF!</v>
      </c>
      <c r="AB22" s="234" t="e">
        <v>#REF!</v>
      </c>
      <c r="AC22" s="238" t="e">
        <v>#REF!</v>
      </c>
      <c r="AD22" s="234" t="e">
        <v>#REF!</v>
      </c>
      <c r="AE22" s="234" t="e">
        <v>#REF!</v>
      </c>
      <c r="AF22" s="234" t="e">
        <v>#REF!</v>
      </c>
      <c r="AG22" s="238" t="e">
        <v>#REF!</v>
      </c>
      <c r="AH22" s="257" t="e">
        <v>#REF!</v>
      </c>
      <c r="AI22" s="236" t="e">
        <v>#REF!</v>
      </c>
      <c r="AJ22" s="238" t="e">
        <v>#REF!</v>
      </c>
      <c r="AK22" s="238" t="e">
        <v>#REF!</v>
      </c>
      <c r="AL22" s="203"/>
      <c r="AM22" s="738">
        <v>2031</v>
      </c>
      <c r="AN22" s="683">
        <v>1741</v>
      </c>
      <c r="AO22" s="254">
        <v>290</v>
      </c>
      <c r="AP22" s="30">
        <v>0.1665709362435382</v>
      </c>
      <c r="AQ22" s="245"/>
      <c r="AR22" s="379">
        <v>2762</v>
      </c>
      <c r="AS22" s="379">
        <v>2308</v>
      </c>
      <c r="AT22" s="379">
        <v>653</v>
      </c>
      <c r="AU22" s="379">
        <v>34</v>
      </c>
      <c r="AV22" s="304">
        <v>54</v>
      </c>
      <c r="AW22" s="304">
        <v>47</v>
      </c>
      <c r="AX22" s="304">
        <v>39</v>
      </c>
      <c r="AY22" s="43">
        <v>3210</v>
      </c>
      <c r="AZ22" s="43">
        <v>8795</v>
      </c>
      <c r="BA22" s="43">
        <v>5858</v>
      </c>
      <c r="BB22" s="3"/>
      <c r="BC22" s="3"/>
      <c r="BD22" s="3"/>
      <c r="BG22" s="3"/>
    </row>
    <row r="23" spans="1:59" ht="12.75" customHeight="1">
      <c r="A23" s="8"/>
      <c r="B23" s="83" t="s">
        <v>104</v>
      </c>
      <c r="C23" s="242">
        <v>117</v>
      </c>
      <c r="D23" s="30">
        <v>0.3295774647887324</v>
      </c>
      <c r="E23" s="592"/>
      <c r="F23" s="31"/>
      <c r="G23" s="31">
        <v>472</v>
      </c>
      <c r="H23" s="31">
        <v>389</v>
      </c>
      <c r="I23" s="28">
        <v>489</v>
      </c>
      <c r="J23" s="31">
        <v>359</v>
      </c>
      <c r="K23" s="31">
        <v>355</v>
      </c>
      <c r="L23" s="31">
        <v>351</v>
      </c>
      <c r="M23" s="28">
        <v>290</v>
      </c>
      <c r="N23" s="38">
        <v>229</v>
      </c>
      <c r="O23" s="31">
        <v>142</v>
      </c>
      <c r="P23" s="31">
        <v>0</v>
      </c>
      <c r="Q23" s="28">
        <v>0</v>
      </c>
      <c r="R23" s="38">
        <v>0</v>
      </c>
      <c r="S23" s="31">
        <v>0</v>
      </c>
      <c r="T23" s="31">
        <v>0</v>
      </c>
      <c r="U23" s="28">
        <v>0</v>
      </c>
      <c r="V23" s="38">
        <v>0</v>
      </c>
      <c r="W23" s="31">
        <v>0</v>
      </c>
      <c r="X23" s="31" t="e">
        <v>#REF!</v>
      </c>
      <c r="Y23" s="28" t="e">
        <v>#REF!</v>
      </c>
      <c r="Z23" s="234" t="e">
        <v>#REF!</v>
      </c>
      <c r="AA23" s="234" t="e">
        <v>#REF!</v>
      </c>
      <c r="AB23" s="234" t="e">
        <v>#REF!</v>
      </c>
      <c r="AC23" s="238" t="e">
        <v>#REF!</v>
      </c>
      <c r="AD23" s="234" t="e">
        <v>#REF!</v>
      </c>
      <c r="AE23" s="234" t="e">
        <v>#REF!</v>
      </c>
      <c r="AF23" s="234" t="e">
        <v>#REF!</v>
      </c>
      <c r="AG23" s="238" t="e">
        <v>#REF!</v>
      </c>
      <c r="AH23" s="201" t="e">
        <v>#REF!</v>
      </c>
      <c r="AI23" s="238" t="e">
        <v>#REF!</v>
      </c>
      <c r="AJ23" s="238" t="e">
        <v>#REF!</v>
      </c>
      <c r="AK23" s="238" t="e">
        <v>#REF!</v>
      </c>
      <c r="AL23" s="203"/>
      <c r="AM23" s="738">
        <v>1350</v>
      </c>
      <c r="AN23" s="683">
        <v>996</v>
      </c>
      <c r="AO23" s="31">
        <v>354</v>
      </c>
      <c r="AP23" s="30">
        <v>0.35542168674698793</v>
      </c>
      <c r="AQ23" s="245"/>
      <c r="AR23" s="379">
        <v>1355</v>
      </c>
      <c r="AS23" s="379">
        <v>371</v>
      </c>
      <c r="AT23" s="215">
        <v>0</v>
      </c>
      <c r="AU23" s="215">
        <v>0</v>
      </c>
      <c r="AV23" s="204">
        <v>1</v>
      </c>
      <c r="AW23" s="204">
        <v>0</v>
      </c>
      <c r="AX23" s="204">
        <v>0</v>
      </c>
      <c r="AY23" s="43">
        <v>1190</v>
      </c>
      <c r="AZ23" s="43">
        <v>1163</v>
      </c>
      <c r="BA23" s="43">
        <v>1117</v>
      </c>
      <c r="BB23" s="3"/>
      <c r="BC23" s="3"/>
      <c r="BD23" s="3"/>
      <c r="BG23" s="3"/>
    </row>
    <row r="24" spans="1:59" ht="12.75" customHeight="1">
      <c r="A24" s="8"/>
      <c r="B24" s="83" t="s">
        <v>76</v>
      </c>
      <c r="C24" s="242">
        <v>2</v>
      </c>
      <c r="D24" s="30">
        <v>0.004705882352941176</v>
      </c>
      <c r="E24" s="592"/>
      <c r="F24" s="234"/>
      <c r="G24" s="234">
        <v>427</v>
      </c>
      <c r="H24" s="234">
        <v>434</v>
      </c>
      <c r="I24" s="238">
        <v>275</v>
      </c>
      <c r="J24" s="234">
        <v>453</v>
      </c>
      <c r="K24" s="234">
        <v>425</v>
      </c>
      <c r="L24" s="234">
        <v>586</v>
      </c>
      <c r="M24" s="238">
        <v>345</v>
      </c>
      <c r="N24" s="234">
        <v>243</v>
      </c>
      <c r="O24" s="234">
        <v>219</v>
      </c>
      <c r="P24" s="234">
        <v>134</v>
      </c>
      <c r="Q24" s="238">
        <v>138</v>
      </c>
      <c r="R24" s="234">
        <v>103</v>
      </c>
      <c r="S24" s="234">
        <v>13</v>
      </c>
      <c r="T24" s="234">
        <v>14</v>
      </c>
      <c r="U24" s="238">
        <v>14</v>
      </c>
      <c r="V24" s="234">
        <v>14</v>
      </c>
      <c r="W24" s="234">
        <v>13</v>
      </c>
      <c r="X24" s="234" t="e">
        <v>#REF!</v>
      </c>
      <c r="Y24" s="238" t="e">
        <v>#REF!</v>
      </c>
      <c r="Z24" s="234" t="e">
        <v>#REF!</v>
      </c>
      <c r="AA24" s="234" t="e">
        <v>#REF!</v>
      </c>
      <c r="AB24" s="234" t="e">
        <v>#REF!</v>
      </c>
      <c r="AC24" s="238" t="e">
        <v>#REF!</v>
      </c>
      <c r="AD24" s="234" t="e">
        <v>#REF!</v>
      </c>
      <c r="AE24" s="234" t="e">
        <v>#REF!</v>
      </c>
      <c r="AF24" s="234" t="e">
        <v>#REF!</v>
      </c>
      <c r="AG24" s="238" t="e">
        <v>#REF!</v>
      </c>
      <c r="AH24" s="201" t="e">
        <v>#REF!</v>
      </c>
      <c r="AI24" s="238" t="e">
        <v>#REF!</v>
      </c>
      <c r="AJ24" s="238" t="e">
        <v>#REF!</v>
      </c>
      <c r="AK24" s="238" t="e">
        <v>#REF!</v>
      </c>
      <c r="AL24" s="203"/>
      <c r="AM24" s="738">
        <v>1136</v>
      </c>
      <c r="AN24" s="683">
        <v>1356</v>
      </c>
      <c r="AO24" s="254">
        <v>-220</v>
      </c>
      <c r="AP24" s="30">
        <v>-0.16224188790560473</v>
      </c>
      <c r="AQ24" s="245"/>
      <c r="AR24" s="379">
        <v>1809</v>
      </c>
      <c r="AS24" s="379">
        <v>734</v>
      </c>
      <c r="AT24" s="215">
        <v>144</v>
      </c>
      <c r="AU24" s="215">
        <v>55</v>
      </c>
      <c r="AV24" s="204">
        <v>55</v>
      </c>
      <c r="AW24" s="204">
        <v>51</v>
      </c>
      <c r="AX24" s="204">
        <v>57</v>
      </c>
      <c r="AY24" s="43">
        <v>2139</v>
      </c>
      <c r="AZ24" s="43">
        <v>2143</v>
      </c>
      <c r="BA24" s="43">
        <v>2573</v>
      </c>
      <c r="BB24" s="3"/>
      <c r="BC24" s="3"/>
      <c r="BD24" s="3"/>
      <c r="BG24" s="3"/>
    </row>
    <row r="25" spans="1:59" ht="12.75" customHeight="1">
      <c r="A25" s="8"/>
      <c r="B25" s="83" t="s">
        <v>77</v>
      </c>
      <c r="C25" s="242">
        <v>57</v>
      </c>
      <c r="D25" s="30">
        <v>0.2780487804878049</v>
      </c>
      <c r="E25" s="592"/>
      <c r="F25" s="31"/>
      <c r="G25" s="31">
        <v>262</v>
      </c>
      <c r="H25" s="31">
        <v>183</v>
      </c>
      <c r="I25" s="238">
        <v>358</v>
      </c>
      <c r="J25" s="31">
        <v>196</v>
      </c>
      <c r="K25" s="31">
        <v>205</v>
      </c>
      <c r="L25" s="31">
        <v>134</v>
      </c>
      <c r="M25" s="238">
        <v>172</v>
      </c>
      <c r="N25" s="234">
        <v>168</v>
      </c>
      <c r="O25" s="31">
        <v>103</v>
      </c>
      <c r="P25" s="31">
        <v>42</v>
      </c>
      <c r="Q25" s="238">
        <v>22</v>
      </c>
      <c r="R25" s="234">
        <v>20</v>
      </c>
      <c r="S25" s="31">
        <v>0</v>
      </c>
      <c r="T25" s="31">
        <v>0</v>
      </c>
      <c r="U25" s="28">
        <v>0</v>
      </c>
      <c r="V25" s="38">
        <v>0</v>
      </c>
      <c r="W25" s="31">
        <v>0</v>
      </c>
      <c r="X25" s="31" t="e">
        <v>#REF!</v>
      </c>
      <c r="Y25" s="28" t="e">
        <v>#REF!</v>
      </c>
      <c r="Z25" s="234" t="e">
        <v>#REF!</v>
      </c>
      <c r="AA25" s="234" t="e">
        <v>#REF!</v>
      </c>
      <c r="AB25" s="234" t="e">
        <v>#REF!</v>
      </c>
      <c r="AC25" s="238" t="e">
        <v>#REF!</v>
      </c>
      <c r="AD25" s="234" t="e">
        <v>#REF!</v>
      </c>
      <c r="AE25" s="234" t="e">
        <v>#REF!</v>
      </c>
      <c r="AF25" s="234" t="e">
        <v>#REF!</v>
      </c>
      <c r="AG25" s="238" t="e">
        <v>#REF!</v>
      </c>
      <c r="AH25" s="201" t="e">
        <v>#REF!</v>
      </c>
      <c r="AI25" s="238" t="e">
        <v>#REF!</v>
      </c>
      <c r="AJ25" s="238" t="e">
        <v>#REF!</v>
      </c>
      <c r="AK25" s="238" t="e">
        <v>#REF!</v>
      </c>
      <c r="AL25" s="203"/>
      <c r="AM25" s="738">
        <v>803</v>
      </c>
      <c r="AN25" s="683">
        <v>511</v>
      </c>
      <c r="AO25" s="254">
        <v>292</v>
      </c>
      <c r="AP25" s="30">
        <v>0.5714285714285714</v>
      </c>
      <c r="AQ25" s="245"/>
      <c r="AR25" s="379">
        <v>707</v>
      </c>
      <c r="AS25" s="379">
        <v>335</v>
      </c>
      <c r="AT25" s="215">
        <v>20</v>
      </c>
      <c r="AU25" s="215">
        <v>0</v>
      </c>
      <c r="AV25" s="204">
        <v>-2</v>
      </c>
      <c r="AW25" s="204">
        <v>0</v>
      </c>
      <c r="AX25" s="204">
        <v>0</v>
      </c>
      <c r="AY25" s="43">
        <v>1440</v>
      </c>
      <c r="AZ25" s="43">
        <v>1036</v>
      </c>
      <c r="BA25" s="43">
        <v>837</v>
      </c>
      <c r="BB25" s="3"/>
      <c r="BC25" s="3"/>
      <c r="BD25" s="3"/>
      <c r="BG25" s="3"/>
    </row>
    <row r="26" spans="1:59" ht="12.75" customHeight="1">
      <c r="A26" s="8"/>
      <c r="B26" s="83" t="s">
        <v>72</v>
      </c>
      <c r="C26" s="242">
        <v>15</v>
      </c>
      <c r="D26" s="30">
        <v>3</v>
      </c>
      <c r="E26" s="592"/>
      <c r="F26" s="31"/>
      <c r="G26" s="31">
        <v>20</v>
      </c>
      <c r="H26" s="31">
        <v>9</v>
      </c>
      <c r="I26" s="238">
        <v>9</v>
      </c>
      <c r="J26" s="31">
        <v>8</v>
      </c>
      <c r="K26" s="31">
        <v>5</v>
      </c>
      <c r="L26" s="31">
        <v>5</v>
      </c>
      <c r="M26" s="238">
        <v>11</v>
      </c>
      <c r="N26" s="234">
        <v>6</v>
      </c>
      <c r="O26" s="31">
        <v>1</v>
      </c>
      <c r="P26" s="31">
        <v>1</v>
      </c>
      <c r="Q26" s="238">
        <v>1</v>
      </c>
      <c r="R26" s="234">
        <v>2</v>
      </c>
      <c r="S26" s="31">
        <v>0</v>
      </c>
      <c r="T26" s="234">
        <v>-1</v>
      </c>
      <c r="U26" s="28">
        <v>0</v>
      </c>
      <c r="V26" s="38">
        <v>0</v>
      </c>
      <c r="W26" s="31">
        <v>0</v>
      </c>
      <c r="X26" s="31" t="e">
        <v>#REF!</v>
      </c>
      <c r="Y26" s="238" t="e">
        <v>#REF!</v>
      </c>
      <c r="Z26" s="234" t="e">
        <v>#REF!</v>
      </c>
      <c r="AA26" s="234" t="e">
        <v>#REF!</v>
      </c>
      <c r="AB26" s="234" t="e">
        <v>#REF!</v>
      </c>
      <c r="AC26" s="238" t="e">
        <v>#REF!</v>
      </c>
      <c r="AD26" s="234" t="e">
        <v>#REF!</v>
      </c>
      <c r="AE26" s="254" t="e">
        <v>#REF!</v>
      </c>
      <c r="AF26" s="254" t="e">
        <v>#REF!</v>
      </c>
      <c r="AG26" s="353" t="e">
        <v>#REF!</v>
      </c>
      <c r="AH26" s="302" t="e">
        <v>#REF!</v>
      </c>
      <c r="AI26" s="238" t="e">
        <v>#REF!</v>
      </c>
      <c r="AJ26" s="238" t="e">
        <v>#REF!</v>
      </c>
      <c r="AK26" s="353" t="e">
        <v>#REF!</v>
      </c>
      <c r="AL26" s="203"/>
      <c r="AM26" s="738">
        <v>38</v>
      </c>
      <c r="AN26" s="683">
        <v>21</v>
      </c>
      <c r="AO26" s="254">
        <v>17</v>
      </c>
      <c r="AP26" s="30">
        <v>0.8095238095238095</v>
      </c>
      <c r="AQ26" s="245"/>
      <c r="AR26" s="379">
        <v>29</v>
      </c>
      <c r="AS26" s="379">
        <v>9</v>
      </c>
      <c r="AT26" s="215">
        <v>1</v>
      </c>
      <c r="AU26" s="215">
        <v>1</v>
      </c>
      <c r="AV26" s="204">
        <v>0</v>
      </c>
      <c r="AW26" s="204">
        <v>2</v>
      </c>
      <c r="AX26" s="204">
        <v>2</v>
      </c>
      <c r="AY26" s="43">
        <v>5</v>
      </c>
      <c r="AZ26" s="43">
        <v>1</v>
      </c>
      <c r="BA26" s="43">
        <v>35</v>
      </c>
      <c r="BB26" s="3"/>
      <c r="BC26" s="3"/>
      <c r="BD26" s="3"/>
      <c r="BG26" s="3"/>
    </row>
    <row r="27" spans="1:59" ht="12.75" customHeight="1">
      <c r="A27" s="8"/>
      <c r="B27" s="83" t="s">
        <v>101</v>
      </c>
      <c r="C27" s="242">
        <v>246</v>
      </c>
      <c r="D27" s="30">
        <v>0.2469879518072289</v>
      </c>
      <c r="E27" s="592"/>
      <c r="F27" s="234"/>
      <c r="G27" s="234">
        <v>1242</v>
      </c>
      <c r="H27" s="234">
        <v>1382</v>
      </c>
      <c r="I27" s="238">
        <v>1229</v>
      </c>
      <c r="J27" s="234">
        <v>1672</v>
      </c>
      <c r="K27" s="234">
        <v>996</v>
      </c>
      <c r="L27" s="234">
        <v>1727</v>
      </c>
      <c r="M27" s="238">
        <v>908</v>
      </c>
      <c r="N27" s="234">
        <v>932</v>
      </c>
      <c r="O27" s="234">
        <v>861</v>
      </c>
      <c r="P27" s="234">
        <v>212</v>
      </c>
      <c r="Q27" s="238">
        <v>327</v>
      </c>
      <c r="R27" s="234">
        <v>354</v>
      </c>
      <c r="S27" s="234">
        <v>123</v>
      </c>
      <c r="T27" s="234">
        <v>15</v>
      </c>
      <c r="U27" s="238">
        <v>24</v>
      </c>
      <c r="V27" s="234">
        <v>-289</v>
      </c>
      <c r="W27" s="234">
        <v>154</v>
      </c>
      <c r="X27" s="234" t="e">
        <v>#REF!</v>
      </c>
      <c r="Y27" s="238" t="e">
        <v>#REF!</v>
      </c>
      <c r="Z27" s="234" t="e">
        <v>#REF!</v>
      </c>
      <c r="AA27" s="234" t="e">
        <v>#REF!</v>
      </c>
      <c r="AB27" s="234" t="e">
        <v>#REF!</v>
      </c>
      <c r="AC27" s="238" t="e">
        <v>#REF!</v>
      </c>
      <c r="AD27" s="234" t="e">
        <v>#REF!</v>
      </c>
      <c r="AE27" s="234" t="e">
        <v>#REF!</v>
      </c>
      <c r="AF27" s="234" t="e">
        <v>#REF!</v>
      </c>
      <c r="AG27" s="238" t="e">
        <v>#REF!</v>
      </c>
      <c r="AH27" s="201" t="e">
        <v>#REF!</v>
      </c>
      <c r="AI27" s="238" t="e">
        <v>#REF!</v>
      </c>
      <c r="AJ27" s="238" t="e">
        <v>#REF!</v>
      </c>
      <c r="AK27" s="238" t="e">
        <v>#REF!</v>
      </c>
      <c r="AL27" s="203"/>
      <c r="AM27" s="738">
        <v>3853</v>
      </c>
      <c r="AN27" s="683">
        <v>3631</v>
      </c>
      <c r="AO27" s="254">
        <v>222</v>
      </c>
      <c r="AP27" s="30">
        <v>0.06114018176810796</v>
      </c>
      <c r="AQ27" s="245"/>
      <c r="AR27" s="379">
        <v>5303</v>
      </c>
      <c r="AS27" s="379">
        <v>2332</v>
      </c>
      <c r="AT27" s="215">
        <v>516</v>
      </c>
      <c r="AU27" s="215">
        <v>92</v>
      </c>
      <c r="AV27" s="204">
        <v>169</v>
      </c>
      <c r="AW27" s="204">
        <v>66</v>
      </c>
      <c r="AX27" s="204">
        <v>66</v>
      </c>
      <c r="AY27" s="43">
        <v>6374</v>
      </c>
      <c r="AZ27" s="43">
        <v>5879</v>
      </c>
      <c r="BA27" s="43">
        <v>3463</v>
      </c>
      <c r="BB27" s="3"/>
      <c r="BC27" s="3"/>
      <c r="BD27" s="3"/>
      <c r="BG27" s="3"/>
    </row>
    <row r="28" spans="1:59" ht="12.75" customHeight="1">
      <c r="A28" s="8"/>
      <c r="B28" s="83" t="s">
        <v>79</v>
      </c>
      <c r="C28" s="242">
        <v>-687</v>
      </c>
      <c r="D28" s="30">
        <v>-0.42302955665024633</v>
      </c>
      <c r="E28" s="592"/>
      <c r="F28" s="31"/>
      <c r="G28" s="31">
        <v>937</v>
      </c>
      <c r="H28" s="31">
        <v>905</v>
      </c>
      <c r="I28" s="238">
        <v>1301</v>
      </c>
      <c r="J28" s="31">
        <v>1635</v>
      </c>
      <c r="K28" s="31">
        <v>1624</v>
      </c>
      <c r="L28" s="31">
        <v>1586</v>
      </c>
      <c r="M28" s="238">
        <v>1877</v>
      </c>
      <c r="N28" s="234">
        <v>1078</v>
      </c>
      <c r="O28" s="31">
        <v>906</v>
      </c>
      <c r="P28" s="31">
        <v>36</v>
      </c>
      <c r="Q28" s="238">
        <v>28</v>
      </c>
      <c r="R28" s="234">
        <v>26</v>
      </c>
      <c r="S28" s="31">
        <v>0</v>
      </c>
      <c r="T28" s="31">
        <v>0</v>
      </c>
      <c r="U28" s="28">
        <v>0</v>
      </c>
      <c r="V28" s="38">
        <v>0</v>
      </c>
      <c r="W28" s="31">
        <v>0</v>
      </c>
      <c r="X28" s="31" t="e">
        <v>#REF!</v>
      </c>
      <c r="Y28" s="28" t="e">
        <v>#REF!</v>
      </c>
      <c r="Z28" s="234" t="e">
        <v>#REF!</v>
      </c>
      <c r="AA28" s="234" t="e">
        <v>#REF!</v>
      </c>
      <c r="AB28" s="234" t="e">
        <v>#REF!</v>
      </c>
      <c r="AC28" s="238" t="e">
        <v>#REF!</v>
      </c>
      <c r="AD28" s="234" t="e">
        <v>#REF!</v>
      </c>
      <c r="AE28" s="234" t="e">
        <v>#REF!</v>
      </c>
      <c r="AF28" s="234" t="e">
        <v>#REF!</v>
      </c>
      <c r="AG28" s="238" t="e">
        <v>#REF!</v>
      </c>
      <c r="AH28" s="201" t="e">
        <v>#REF!</v>
      </c>
      <c r="AI28" s="238" t="e">
        <v>#REF!</v>
      </c>
      <c r="AJ28" s="238" t="e">
        <v>#REF!</v>
      </c>
      <c r="AK28" s="238" t="e">
        <v>#REF!</v>
      </c>
      <c r="AL28" s="203"/>
      <c r="AM28" s="738">
        <v>3143</v>
      </c>
      <c r="AN28" s="683">
        <v>5087</v>
      </c>
      <c r="AO28" s="254">
        <v>-1944</v>
      </c>
      <c r="AP28" s="30">
        <v>-0.3821505799095734</v>
      </c>
      <c r="AQ28" s="245"/>
      <c r="AR28" s="379">
        <v>6722</v>
      </c>
      <c r="AS28" s="379">
        <v>2048</v>
      </c>
      <c r="AT28" s="215">
        <v>26</v>
      </c>
      <c r="AU28" s="215">
        <v>0</v>
      </c>
      <c r="AV28" s="204">
        <v>0</v>
      </c>
      <c r="AW28" s="204">
        <v>0</v>
      </c>
      <c r="AX28" s="204">
        <v>0</v>
      </c>
      <c r="AY28" s="43">
        <v>716</v>
      </c>
      <c r="AZ28" s="43">
        <v>620</v>
      </c>
      <c r="BA28" s="43">
        <v>716</v>
      </c>
      <c r="BB28" s="3"/>
      <c r="BC28" s="3"/>
      <c r="BD28" s="3"/>
      <c r="BG28" s="3"/>
    </row>
    <row r="29" spans="1:59" ht="12.75" customHeight="1">
      <c r="A29" s="7"/>
      <c r="B29" s="83" t="s">
        <v>80</v>
      </c>
      <c r="C29" s="242">
        <v>-705</v>
      </c>
      <c r="D29" s="30">
        <v>0.7790055248618785</v>
      </c>
      <c r="E29" s="592"/>
      <c r="F29" s="31"/>
      <c r="G29" s="31">
        <v>200</v>
      </c>
      <c r="H29" s="31">
        <v>128</v>
      </c>
      <c r="I29" s="238">
        <v>760</v>
      </c>
      <c r="J29" s="31">
        <v>-698</v>
      </c>
      <c r="K29" s="31">
        <v>905</v>
      </c>
      <c r="L29" s="31">
        <v>-313</v>
      </c>
      <c r="M29" s="238">
        <v>372</v>
      </c>
      <c r="N29" s="234">
        <v>941</v>
      </c>
      <c r="O29" s="31">
        <v>1757</v>
      </c>
      <c r="P29" s="31">
        <v>517</v>
      </c>
      <c r="Q29" s="238">
        <v>538</v>
      </c>
      <c r="R29" s="234">
        <v>76</v>
      </c>
      <c r="S29" s="31">
        <v>0</v>
      </c>
      <c r="T29" s="31">
        <v>0</v>
      </c>
      <c r="U29" s="28">
        <v>0</v>
      </c>
      <c r="V29" s="38">
        <v>0</v>
      </c>
      <c r="W29" s="31">
        <v>0</v>
      </c>
      <c r="X29" s="31" t="e">
        <v>#REF!</v>
      </c>
      <c r="Y29" s="28" t="e">
        <v>#REF!</v>
      </c>
      <c r="Z29" s="234" t="e">
        <v>#REF!</v>
      </c>
      <c r="AA29" s="234" t="e">
        <v>#REF!</v>
      </c>
      <c r="AB29" s="234" t="e">
        <v>#REF!</v>
      </c>
      <c r="AC29" s="238" t="e">
        <v>#REF!</v>
      </c>
      <c r="AD29" s="234" t="e">
        <v>#REF!</v>
      </c>
      <c r="AE29" s="234" t="e">
        <v>#REF!</v>
      </c>
      <c r="AF29" s="234" t="e">
        <v>#REF!</v>
      </c>
      <c r="AG29" s="238" t="e">
        <v>#REF!</v>
      </c>
      <c r="AH29" s="201" t="e">
        <v>#REF!</v>
      </c>
      <c r="AI29" s="241" t="e">
        <v>#REF!</v>
      </c>
      <c r="AJ29" s="238" t="e">
        <v>#REF!</v>
      </c>
      <c r="AK29" s="238" t="e">
        <v>#REF!</v>
      </c>
      <c r="AL29" s="203"/>
      <c r="AM29" s="738">
        <v>1088</v>
      </c>
      <c r="AN29" s="683">
        <v>964</v>
      </c>
      <c r="AO29" s="254">
        <v>124</v>
      </c>
      <c r="AP29" s="30">
        <v>0.12863070539419086</v>
      </c>
      <c r="AQ29" s="245"/>
      <c r="AR29" s="379">
        <v>266</v>
      </c>
      <c r="AS29" s="379">
        <v>3753</v>
      </c>
      <c r="AT29" s="215">
        <v>76</v>
      </c>
      <c r="AU29" s="215">
        <v>0</v>
      </c>
      <c r="AV29" s="204">
        <v>0</v>
      </c>
      <c r="AW29" s="204">
        <v>0</v>
      </c>
      <c r="AX29" s="204">
        <v>0</v>
      </c>
      <c r="AY29" s="43">
        <v>0</v>
      </c>
      <c r="AZ29" s="43">
        <v>0</v>
      </c>
      <c r="BA29" s="43">
        <v>0</v>
      </c>
      <c r="BB29" s="3"/>
      <c r="BC29" s="3"/>
      <c r="BD29" s="3"/>
      <c r="BG29" s="3"/>
    </row>
    <row r="30" spans="1:59" ht="12.75" customHeight="1">
      <c r="A30" s="8"/>
      <c r="B30" s="7" t="s">
        <v>193</v>
      </c>
      <c r="C30" s="242">
        <v>0</v>
      </c>
      <c r="D30" s="30">
        <v>0</v>
      </c>
      <c r="E30" s="592"/>
      <c r="F30" s="385"/>
      <c r="G30" s="385">
        <v>0</v>
      </c>
      <c r="H30" s="385">
        <v>0</v>
      </c>
      <c r="I30" s="353">
        <v>0</v>
      </c>
      <c r="J30" s="385">
        <v>0</v>
      </c>
      <c r="K30" s="385">
        <v>0</v>
      </c>
      <c r="L30" s="385">
        <v>0</v>
      </c>
      <c r="M30" s="353">
        <v>0</v>
      </c>
      <c r="N30" s="254">
        <v>0</v>
      </c>
      <c r="O30" s="385">
        <v>0</v>
      </c>
      <c r="P30" s="385">
        <v>0</v>
      </c>
      <c r="Q30" s="353">
        <v>0</v>
      </c>
      <c r="R30" s="254">
        <v>0</v>
      </c>
      <c r="S30" s="385">
        <v>0</v>
      </c>
      <c r="T30" s="254">
        <v>0</v>
      </c>
      <c r="U30" s="353">
        <v>0</v>
      </c>
      <c r="V30" s="254">
        <v>0</v>
      </c>
      <c r="W30" s="385">
        <v>0</v>
      </c>
      <c r="X30" s="254" t="e">
        <v>#REF!</v>
      </c>
      <c r="Y30" s="353" t="e">
        <v>#REF!</v>
      </c>
      <c r="Z30" s="385" t="e">
        <v>#REF!</v>
      </c>
      <c r="AA30" s="234" t="e">
        <v>#REF!</v>
      </c>
      <c r="AB30" s="254" t="e">
        <v>#REF!</v>
      </c>
      <c r="AC30" s="486" t="e">
        <v>#REF!</v>
      </c>
      <c r="AD30" s="254" t="e">
        <v>#REF!</v>
      </c>
      <c r="AE30" s="254" t="e">
        <v>#REF!</v>
      </c>
      <c r="AF30" s="254" t="e">
        <v>#REF!</v>
      </c>
      <c r="AG30" s="353" t="e">
        <v>#REF!</v>
      </c>
      <c r="AH30" s="485" t="e">
        <v>#REF!</v>
      </c>
      <c r="AI30" s="214" t="e">
        <v>#REF!</v>
      </c>
      <c r="AJ30" s="217" t="e">
        <v>#REF!</v>
      </c>
      <c r="AK30" s="217" t="e">
        <v>#REF!</v>
      </c>
      <c r="AL30" s="203"/>
      <c r="AM30" s="738">
        <v>0</v>
      </c>
      <c r="AN30" s="683">
        <v>0</v>
      </c>
      <c r="AO30" s="254">
        <v>0</v>
      </c>
      <c r="AP30" s="30">
        <v>0</v>
      </c>
      <c r="AQ30" s="245"/>
      <c r="AR30" s="738">
        <v>0</v>
      </c>
      <c r="AS30" s="557">
        <v>0</v>
      </c>
      <c r="AT30" s="215">
        <v>0</v>
      </c>
      <c r="AU30" s="215">
        <v>0</v>
      </c>
      <c r="AV30" s="204">
        <v>0</v>
      </c>
      <c r="AW30" s="204">
        <v>0</v>
      </c>
      <c r="AX30" s="752">
        <v>0</v>
      </c>
      <c r="AY30" s="43">
        <v>0</v>
      </c>
      <c r="AZ30" s="43">
        <v>0</v>
      </c>
      <c r="BA30" s="43">
        <v>0</v>
      </c>
      <c r="BB30" s="3"/>
      <c r="BC30" s="3"/>
      <c r="BD30" s="3"/>
      <c r="BG30" s="3"/>
    </row>
    <row r="31" spans="1:59" ht="12.75" customHeight="1">
      <c r="A31" s="8"/>
      <c r="B31" s="7"/>
      <c r="C31" s="247">
        <v>2220</v>
      </c>
      <c r="D31" s="170">
        <v>0.22462814934736416</v>
      </c>
      <c r="E31" s="592"/>
      <c r="F31" s="248"/>
      <c r="G31" s="248">
        <v>12103</v>
      </c>
      <c r="H31" s="248">
        <v>9069</v>
      </c>
      <c r="I31" s="249">
        <v>9298</v>
      </c>
      <c r="J31" s="248">
        <v>9244</v>
      </c>
      <c r="K31" s="248">
        <v>9883</v>
      </c>
      <c r="L31" s="248">
        <v>7490</v>
      </c>
      <c r="M31" s="249">
        <v>7988</v>
      </c>
      <c r="N31" s="248">
        <v>6225</v>
      </c>
      <c r="O31" s="248">
        <v>7323</v>
      </c>
      <c r="P31" s="248">
        <v>1729</v>
      </c>
      <c r="Q31" s="249">
        <v>2038</v>
      </c>
      <c r="R31" s="248">
        <v>1317</v>
      </c>
      <c r="S31" s="248">
        <v>151</v>
      </c>
      <c r="T31" s="248">
        <v>34</v>
      </c>
      <c r="U31" s="249">
        <v>43</v>
      </c>
      <c r="V31" s="248">
        <v>1744</v>
      </c>
      <c r="W31" s="248">
        <v>176</v>
      </c>
      <c r="X31" s="248" t="e">
        <v>#REF!</v>
      </c>
      <c r="Y31" s="249" t="e">
        <v>#REF!</v>
      </c>
      <c r="Z31" s="248" t="e">
        <v>#REF!</v>
      </c>
      <c r="AA31" s="248" t="e">
        <v>#REF!</v>
      </c>
      <c r="AB31" s="248" t="e">
        <v>#REF!</v>
      </c>
      <c r="AC31" s="249" t="e">
        <v>#REF!</v>
      </c>
      <c r="AD31" s="248" t="e">
        <v>#REF!</v>
      </c>
      <c r="AE31" s="248" t="e">
        <v>#REF!</v>
      </c>
      <c r="AF31" s="248" t="e">
        <v>#REF!</v>
      </c>
      <c r="AG31" s="249" t="e">
        <v>#REF!</v>
      </c>
      <c r="AH31" s="207" t="e">
        <v>#REF!</v>
      </c>
      <c r="AI31" s="249" t="e">
        <v>#REF!</v>
      </c>
      <c r="AJ31" s="249" t="e">
        <v>#REF!</v>
      </c>
      <c r="AK31" s="249" t="e">
        <v>#REF!</v>
      </c>
      <c r="AL31" s="203"/>
      <c r="AM31" s="247">
        <v>30470</v>
      </c>
      <c r="AN31" s="248">
        <v>25361</v>
      </c>
      <c r="AO31" s="381">
        <v>5109</v>
      </c>
      <c r="AP31" s="170">
        <v>0.20145104688300935</v>
      </c>
      <c r="AQ31" s="245"/>
      <c r="AR31" s="386">
        <v>34605</v>
      </c>
      <c r="AS31" s="386">
        <v>17315</v>
      </c>
      <c r="AT31" s="386">
        <v>1545</v>
      </c>
      <c r="AU31" s="202">
        <v>2453</v>
      </c>
      <c r="AV31" s="202">
        <v>4212</v>
      </c>
      <c r="AW31" s="202">
        <v>5506</v>
      </c>
      <c r="AX31" s="202">
        <v>4992</v>
      </c>
      <c r="AY31" s="355">
        <v>83963</v>
      </c>
      <c r="AZ31" s="355">
        <v>85664</v>
      </c>
      <c r="BA31" s="355">
        <v>68575</v>
      </c>
      <c r="BB31" s="3"/>
      <c r="BC31" s="3"/>
      <c r="BD31" s="3"/>
      <c r="BG31" s="3"/>
    </row>
    <row r="32" spans="1:59" s="1089" customFormat="1" ht="24.75" customHeight="1" thickBot="1">
      <c r="A32" s="1449" t="s">
        <v>216</v>
      </c>
      <c r="B32" s="1450"/>
      <c r="C32" s="1026">
        <v>6457</v>
      </c>
      <c r="D32" s="1084">
        <v>2.497872340425532</v>
      </c>
      <c r="E32" s="1015"/>
      <c r="F32" s="1052"/>
      <c r="G32" s="1345">
        <v>3872</v>
      </c>
      <c r="H32" s="1345">
        <v>-578</v>
      </c>
      <c r="I32" s="951">
        <v>-4434</v>
      </c>
      <c r="J32" s="1345">
        <v>-2819</v>
      </c>
      <c r="K32" s="1345">
        <v>-2585</v>
      </c>
      <c r="L32" s="1345">
        <v>-1333</v>
      </c>
      <c r="M32" s="951">
        <v>-2581</v>
      </c>
      <c r="N32" s="1345">
        <v>-2512</v>
      </c>
      <c r="O32" s="1345">
        <v>-629</v>
      </c>
      <c r="P32" s="1345">
        <v>-1896</v>
      </c>
      <c r="Q32" s="951">
        <v>-1786</v>
      </c>
      <c r="R32" s="1345">
        <v>-714</v>
      </c>
      <c r="S32" s="1345">
        <v>265</v>
      </c>
      <c r="T32" s="621">
        <v>327</v>
      </c>
      <c r="U32" s="951">
        <v>-195</v>
      </c>
      <c r="V32" s="621">
        <v>1750</v>
      </c>
      <c r="W32" s="1345">
        <v>157</v>
      </c>
      <c r="X32" s="621" t="e">
        <v>#REF!</v>
      </c>
      <c r="Y32" s="951" t="e">
        <v>#REF!</v>
      </c>
      <c r="Z32" s="1345" t="e">
        <v>#REF!</v>
      </c>
      <c r="AA32" s="1345" t="e">
        <v>#REF!</v>
      </c>
      <c r="AB32" s="1345" t="e">
        <v>#REF!</v>
      </c>
      <c r="AC32" s="951" t="e">
        <v>#REF!</v>
      </c>
      <c r="AD32" s="1345" t="e">
        <v>#REF!</v>
      </c>
      <c r="AE32" s="1325" t="e">
        <v>#REF!</v>
      </c>
      <c r="AF32" s="1328" t="e">
        <v>#REF!</v>
      </c>
      <c r="AG32" s="1325" t="e">
        <v>#REF!</v>
      </c>
      <c r="AH32" s="1325" t="e">
        <v>#REF!</v>
      </c>
      <c r="AI32" s="1325" t="e">
        <v>#REF!</v>
      </c>
      <c r="AJ32" s="1325" t="e">
        <v>#REF!</v>
      </c>
      <c r="AK32" s="1325" t="e">
        <v>#REF!</v>
      </c>
      <c r="AL32" s="662"/>
      <c r="AM32" s="1345">
        <v>-1140</v>
      </c>
      <c r="AN32" s="1345">
        <v>-6499</v>
      </c>
      <c r="AO32" s="1345">
        <v>5359</v>
      </c>
      <c r="AP32" s="1027">
        <v>0.82458839821511</v>
      </c>
      <c r="AQ32" s="1006"/>
      <c r="AR32" s="1349">
        <v>-9318</v>
      </c>
      <c r="AS32" s="1349">
        <v>-6823</v>
      </c>
      <c r="AT32" s="1349">
        <v>-317</v>
      </c>
      <c r="AU32" s="1349">
        <v>3441</v>
      </c>
      <c r="AV32" s="1032">
        <v>2569</v>
      </c>
      <c r="AW32" s="1032">
        <v>4431</v>
      </c>
      <c r="AX32" s="1085">
        <v>10905</v>
      </c>
      <c r="AY32" s="1033">
        <v>41937</v>
      </c>
      <c r="AZ32" s="1033">
        <v>30426</v>
      </c>
      <c r="BA32" s="1087"/>
      <c r="BB32" s="1088"/>
      <c r="BD32" s="1088"/>
      <c r="BE32" s="1088"/>
      <c r="BF32" s="1088"/>
      <c r="BG32" s="1088"/>
    </row>
    <row r="33" spans="1:59" s="1089" customFormat="1" ht="12.75" customHeight="1" thickTop="1">
      <c r="A33" s="1090"/>
      <c r="B33" s="1091" t="s">
        <v>451</v>
      </c>
      <c r="C33" s="1043">
        <v>0</v>
      </c>
      <c r="D33" s="1014">
        <v>0</v>
      </c>
      <c r="E33" s="1015"/>
      <c r="F33" s="1266"/>
      <c r="G33" s="859">
        <v>0</v>
      </c>
      <c r="H33" s="859">
        <v>150</v>
      </c>
      <c r="I33" s="941">
        <v>0</v>
      </c>
      <c r="J33" s="859">
        <v>0</v>
      </c>
      <c r="K33" s="859">
        <v>0</v>
      </c>
      <c r="L33" s="859">
        <v>0</v>
      </c>
      <c r="M33" s="941">
        <v>0</v>
      </c>
      <c r="N33" s="859">
        <v>0</v>
      </c>
      <c r="O33" s="859">
        <v>0</v>
      </c>
      <c r="P33" s="859">
        <v>0</v>
      </c>
      <c r="Q33" s="618"/>
      <c r="R33" s="1345"/>
      <c r="S33" s="621"/>
      <c r="T33" s="1345"/>
      <c r="U33" s="618"/>
      <c r="V33" s="1345"/>
      <c r="W33" s="621">
        <v>1561</v>
      </c>
      <c r="X33" s="1345">
        <v>60</v>
      </c>
      <c r="Y33" s="618">
        <v>2551</v>
      </c>
      <c r="Z33" s="621">
        <v>-616</v>
      </c>
      <c r="AA33" s="621">
        <v>-1126</v>
      </c>
      <c r="AB33" s="621">
        <v>-932</v>
      </c>
      <c r="AC33" s="618">
        <v>2587</v>
      </c>
      <c r="AD33" s="621">
        <v>24</v>
      </c>
      <c r="AE33" s="775"/>
      <c r="AF33" s="1350"/>
      <c r="AG33" s="775"/>
      <c r="AH33" s="775"/>
      <c r="AI33" s="775"/>
      <c r="AJ33" s="775"/>
      <c r="AK33" s="775"/>
      <c r="AL33" s="1351"/>
      <c r="AM33" s="1232">
        <v>150</v>
      </c>
      <c r="AN33" s="859">
        <v>0</v>
      </c>
      <c r="AO33" s="859">
        <v>150</v>
      </c>
      <c r="AP33" s="1384" t="s">
        <v>44</v>
      </c>
      <c r="AQ33" s="1267"/>
      <c r="AR33" s="782">
        <v>0</v>
      </c>
      <c r="AS33" s="782">
        <v>0</v>
      </c>
      <c r="AT33" s="782">
        <v>0</v>
      </c>
      <c r="AU33" s="782">
        <v>0</v>
      </c>
      <c r="AV33" s="782">
        <v>0</v>
      </c>
      <c r="AW33" s="1025">
        <v>9333</v>
      </c>
      <c r="AX33" s="1042">
        <v>11496</v>
      </c>
      <c r="AY33" s="1093">
        <v>11945</v>
      </c>
      <c r="AZ33" s="1039">
        <v>10058</v>
      </c>
      <c r="BA33" s="1050"/>
      <c r="BB33" s="1088"/>
      <c r="BD33" s="1088"/>
      <c r="BE33" s="1088"/>
      <c r="BF33" s="1088"/>
      <c r="BG33" s="1088"/>
    </row>
    <row r="34" spans="1:59" s="1089" customFormat="1" ht="18.75" customHeight="1" thickBot="1">
      <c r="A34" s="1449" t="s">
        <v>82</v>
      </c>
      <c r="B34" s="1451"/>
      <c r="C34" s="1094">
        <v>-3709</v>
      </c>
      <c r="D34" s="1095">
        <v>-1.434816247582205</v>
      </c>
      <c r="E34" s="1015"/>
      <c r="F34" s="1096"/>
      <c r="G34" s="718">
        <v>3872</v>
      </c>
      <c r="H34" s="718">
        <v>-728</v>
      </c>
      <c r="I34" s="1343">
        <v>-4434</v>
      </c>
      <c r="J34" s="718">
        <v>-2819</v>
      </c>
      <c r="K34" s="718">
        <v>-2585</v>
      </c>
      <c r="L34" s="718">
        <v>-1333</v>
      </c>
      <c r="M34" s="1343">
        <v>-2581</v>
      </c>
      <c r="N34" s="718">
        <v>-2512</v>
      </c>
      <c r="O34" s="718">
        <v>-629</v>
      </c>
      <c r="P34" s="718">
        <v>-1896</v>
      </c>
      <c r="Q34" s="1343"/>
      <c r="R34" s="718"/>
      <c r="S34" s="718"/>
      <c r="T34" s="718"/>
      <c r="U34" s="1343"/>
      <c r="V34" s="718">
        <v>3882</v>
      </c>
      <c r="W34" s="718">
        <v>3051</v>
      </c>
      <c r="X34" s="718">
        <v>-167</v>
      </c>
      <c r="Y34" s="1343">
        <v>2036</v>
      </c>
      <c r="Z34" s="718">
        <v>3710</v>
      </c>
      <c r="AA34" s="718">
        <v>-2568</v>
      </c>
      <c r="AB34" s="718">
        <v>-4210</v>
      </c>
      <c r="AC34" s="1343">
        <v>7755</v>
      </c>
      <c r="AD34" s="718">
        <v>-439</v>
      </c>
      <c r="AE34" s="1352">
        <v>8956</v>
      </c>
      <c r="AF34" s="1353">
        <v>4777</v>
      </c>
      <c r="AG34" s="1352">
        <v>20726</v>
      </c>
      <c r="AH34" s="1352">
        <v>8455</v>
      </c>
      <c r="AI34" s="1352">
        <v>7520</v>
      </c>
      <c r="AJ34" s="1352">
        <v>10021</v>
      </c>
      <c r="AK34" s="1352">
        <v>16613</v>
      </c>
      <c r="AL34" s="1351"/>
      <c r="AM34" s="718">
        <v>-1290</v>
      </c>
      <c r="AN34" s="718">
        <v>-6499</v>
      </c>
      <c r="AO34" s="718">
        <v>5209</v>
      </c>
      <c r="AP34" s="1244">
        <v>0.8015079242960456</v>
      </c>
      <c r="AQ34" s="1092"/>
      <c r="AR34" s="1347">
        <v>-9318</v>
      </c>
      <c r="AS34" s="1347">
        <v>-6823</v>
      </c>
      <c r="AT34" s="1347">
        <v>-317</v>
      </c>
      <c r="AU34" s="1347">
        <v>3441</v>
      </c>
      <c r="AV34" s="1098">
        <v>2569</v>
      </c>
      <c r="AW34" s="1098">
        <v>24711</v>
      </c>
      <c r="AX34" s="1097">
        <v>31113</v>
      </c>
      <c r="AY34" s="1099">
        <v>29992</v>
      </c>
      <c r="AZ34" s="1033">
        <v>20368</v>
      </c>
      <c r="BA34" s="1050">
        <v>15914</v>
      </c>
      <c r="BB34" s="1088"/>
      <c r="BD34" s="1088"/>
      <c r="BE34" s="1088"/>
      <c r="BF34" s="1088"/>
      <c r="BG34" s="1088"/>
    </row>
    <row r="35" spans="1:59" s="96" customFormat="1" ht="12.75" customHeight="1" thickTop="1">
      <c r="A35" s="143"/>
      <c r="B35" s="142"/>
      <c r="C35" s="234"/>
      <c r="D35" s="41"/>
      <c r="E35" s="41"/>
      <c r="F35" s="41"/>
      <c r="G35" s="41"/>
      <c r="H35" s="41"/>
      <c r="I35" s="234"/>
      <c r="J35" s="41"/>
      <c r="K35" s="41"/>
      <c r="L35" s="41"/>
      <c r="M35" s="234"/>
      <c r="N35" s="41"/>
      <c r="O35" s="41"/>
      <c r="P35" s="41"/>
      <c r="Q35" s="234"/>
      <c r="R35" s="41"/>
      <c r="S35" s="41"/>
      <c r="T35" s="41"/>
      <c r="U35" s="234"/>
      <c r="V35" s="41"/>
      <c r="W35" s="41"/>
      <c r="X35" s="41"/>
      <c r="Y35" s="234"/>
      <c r="Z35" s="41"/>
      <c r="AA35" s="41"/>
      <c r="AB35" s="41"/>
      <c r="AC35" s="234"/>
      <c r="AD35" s="234"/>
      <c r="AE35" s="234"/>
      <c r="AF35" s="234"/>
      <c r="AG35" s="234"/>
      <c r="AH35" s="234"/>
      <c r="AI35" s="234"/>
      <c r="AJ35" s="234"/>
      <c r="AK35" s="234"/>
      <c r="AL35" s="245"/>
      <c r="AM35" s="245"/>
      <c r="AN35" s="245"/>
      <c r="AO35" s="254"/>
      <c r="AP35" s="41"/>
      <c r="AQ35" s="245"/>
      <c r="AR35" s="276"/>
      <c r="AS35" s="276"/>
      <c r="AT35" s="276"/>
      <c r="AU35" s="234"/>
      <c r="AV35" s="234"/>
      <c r="AW35" s="83"/>
      <c r="AX35" s="234"/>
      <c r="AY35" s="31"/>
      <c r="AZ35" s="31"/>
      <c r="BA35" s="31"/>
      <c r="BB35" s="3"/>
      <c r="BC35" s="210"/>
      <c r="BD35" s="210"/>
      <c r="BG35" s="210"/>
    </row>
    <row r="36" spans="1:59" s="96" customFormat="1" ht="12.75" customHeight="1">
      <c r="A36" s="7" t="s">
        <v>401</v>
      </c>
      <c r="B36" s="142"/>
      <c r="C36" s="228">
        <v>-5.366535561225206</v>
      </c>
      <c r="D36" s="41"/>
      <c r="E36" s="41"/>
      <c r="F36" s="41"/>
      <c r="G36" s="41">
        <v>0.5455399061032864</v>
      </c>
      <c r="H36" s="41">
        <v>0.5190201389706748</v>
      </c>
      <c r="I36" s="41">
        <v>0.7954358552631579</v>
      </c>
      <c r="J36" s="41">
        <v>0.7140856031128404</v>
      </c>
      <c r="K36" s="41">
        <v>0.5992052617155385</v>
      </c>
      <c r="L36" s="41">
        <v>0.43998700665908724</v>
      </c>
      <c r="M36" s="41">
        <v>0.664693915294988</v>
      </c>
      <c r="N36" s="41">
        <v>0.5680043091839483</v>
      </c>
      <c r="O36" s="41">
        <v>0.4039438302957873</v>
      </c>
      <c r="P36" s="41">
        <v>-3.6706586826347305</v>
      </c>
      <c r="Q36" s="41">
        <v>-0.003968253968253968</v>
      </c>
      <c r="R36" s="41">
        <v>0.175787728026534</v>
      </c>
      <c r="S36" s="41">
        <v>0.016826923076923076</v>
      </c>
      <c r="T36" s="41">
        <v>-0.00554016620498615</v>
      </c>
      <c r="U36" s="234"/>
      <c r="V36" s="41"/>
      <c r="W36" s="41"/>
      <c r="X36" s="41"/>
      <c r="Y36" s="234"/>
      <c r="Z36" s="41"/>
      <c r="AA36" s="41"/>
      <c r="AB36" s="41"/>
      <c r="AC36" s="234"/>
      <c r="AD36" s="234"/>
      <c r="AE36" s="234"/>
      <c r="AF36" s="234"/>
      <c r="AG36" s="234"/>
      <c r="AH36" s="234"/>
      <c r="AI36" s="234"/>
      <c r="AJ36" s="234"/>
      <c r="AK36" s="234"/>
      <c r="AL36" s="245"/>
      <c r="AM36" s="41">
        <v>0.5793044664166382</v>
      </c>
      <c r="AN36" s="41">
        <v>0.5660057257979005</v>
      </c>
      <c r="AO36" s="228">
        <v>1.3298740618737703</v>
      </c>
      <c r="AP36" s="41"/>
      <c r="AQ36" s="245"/>
      <c r="AR36" s="41">
        <v>0.6036303238818365</v>
      </c>
      <c r="AS36" s="41">
        <v>0.5170606176134197</v>
      </c>
      <c r="AT36" s="41">
        <v>0.08876221498371335</v>
      </c>
      <c r="AU36" s="41">
        <v>0.37750254496097724</v>
      </c>
      <c r="AV36" s="41">
        <v>0.5193924199970505</v>
      </c>
      <c r="AW36" s="41">
        <v>0.4975344671430009</v>
      </c>
      <c r="AX36" s="234"/>
      <c r="AY36" s="31"/>
      <c r="AZ36" s="31"/>
      <c r="BA36" s="31"/>
      <c r="BB36" s="3"/>
      <c r="BC36" s="210"/>
      <c r="BD36" s="210"/>
      <c r="BG36" s="210"/>
    </row>
    <row r="37" spans="1:59" s="96" customFormat="1" ht="12.75" customHeight="1">
      <c r="A37" s="7" t="s">
        <v>402</v>
      </c>
      <c r="B37" s="142"/>
      <c r="C37" s="228">
        <v>-3.4543294602118357</v>
      </c>
      <c r="D37" s="41"/>
      <c r="E37" s="41"/>
      <c r="F37" s="41"/>
      <c r="G37" s="41">
        <v>0.0023161189358372456</v>
      </c>
      <c r="H37" s="41">
        <v>0</v>
      </c>
      <c r="I37" s="41">
        <v>0</v>
      </c>
      <c r="J37" s="41">
        <v>0.0015564202334630351</v>
      </c>
      <c r="K37" s="41">
        <v>0.036859413537955604</v>
      </c>
      <c r="L37" s="41">
        <v>0.013318174435601755</v>
      </c>
      <c r="M37" s="41">
        <v>0.004993526909561679</v>
      </c>
      <c r="N37" s="41">
        <v>0</v>
      </c>
      <c r="O37" s="41">
        <v>0</v>
      </c>
      <c r="P37" s="41">
        <v>0</v>
      </c>
      <c r="Q37" s="41">
        <v>0</v>
      </c>
      <c r="R37" s="41">
        <v>0</v>
      </c>
      <c r="S37" s="41">
        <v>0</v>
      </c>
      <c r="T37" s="41">
        <v>0</v>
      </c>
      <c r="U37" s="234"/>
      <c r="V37" s="41"/>
      <c r="W37" s="41"/>
      <c r="X37" s="41"/>
      <c r="Y37" s="234"/>
      <c r="Z37" s="41"/>
      <c r="AA37" s="41"/>
      <c r="AB37" s="41"/>
      <c r="AC37" s="234"/>
      <c r="AD37" s="234"/>
      <c r="AE37" s="234"/>
      <c r="AF37" s="234"/>
      <c r="AG37" s="234"/>
      <c r="AH37" s="234"/>
      <c r="AI37" s="234"/>
      <c r="AJ37" s="234"/>
      <c r="AK37" s="234"/>
      <c r="AL37" s="245"/>
      <c r="AM37" s="41">
        <v>0.0012615069894306172</v>
      </c>
      <c r="AN37" s="41">
        <v>0.020040292651892694</v>
      </c>
      <c r="AO37" s="228">
        <v>-1.8778785662462076</v>
      </c>
      <c r="AP37" s="41"/>
      <c r="AQ37" s="245"/>
      <c r="AR37" s="41">
        <v>0.015343852572468066</v>
      </c>
      <c r="AS37" s="41">
        <v>0</v>
      </c>
      <c r="AT37" s="41">
        <v>0</v>
      </c>
      <c r="AU37" s="41">
        <v>0.007634882931795046</v>
      </c>
      <c r="AV37" s="41">
        <v>0.06090547116944404</v>
      </c>
      <c r="AW37" s="41">
        <v>0.039851061688638424</v>
      </c>
      <c r="AX37" s="234"/>
      <c r="AY37" s="31"/>
      <c r="AZ37" s="31"/>
      <c r="BA37" s="31"/>
      <c r="BB37" s="3"/>
      <c r="BC37" s="210"/>
      <c r="BD37" s="210"/>
      <c r="BG37" s="210"/>
    </row>
    <row r="38" spans="1:59" s="96" customFormat="1" ht="12.75" customHeight="1">
      <c r="A38" s="145" t="s">
        <v>84</v>
      </c>
      <c r="B38" s="142"/>
      <c r="C38" s="228">
        <v>-8.82086502143704</v>
      </c>
      <c r="D38" s="35"/>
      <c r="E38" s="35"/>
      <c r="F38" s="35"/>
      <c r="G38" s="35">
        <v>0.5478560250391237</v>
      </c>
      <c r="H38" s="35">
        <v>0.5190201389706748</v>
      </c>
      <c r="I38" s="35">
        <v>0.7954358552631579</v>
      </c>
      <c r="J38" s="35">
        <v>0.7156420233463036</v>
      </c>
      <c r="K38" s="35">
        <v>0.6360646752534941</v>
      </c>
      <c r="L38" s="35">
        <v>0.453305181094689</v>
      </c>
      <c r="M38" s="35">
        <v>0.6696874422045497</v>
      </c>
      <c r="N38" s="35">
        <v>0.5680043091839483</v>
      </c>
      <c r="O38" s="35">
        <v>0.4039438302957873</v>
      </c>
      <c r="P38" s="35">
        <v>-3.6706586826347305</v>
      </c>
      <c r="Q38" s="35">
        <v>-0.003968253968253968</v>
      </c>
      <c r="R38" s="35">
        <v>0.175787728026534</v>
      </c>
      <c r="S38" s="35">
        <v>0.016826923076923076</v>
      </c>
      <c r="T38" s="35">
        <v>-0.00554016620498615</v>
      </c>
      <c r="U38" s="35">
        <v>0.013157894736842105</v>
      </c>
      <c r="V38" s="35">
        <v>0.5746994848311391</v>
      </c>
      <c r="W38" s="35">
        <v>0.003003003003003003</v>
      </c>
      <c r="X38" s="35" t="e">
        <v>#REF!</v>
      </c>
      <c r="Y38" s="35" t="e">
        <v>#REF!</v>
      </c>
      <c r="Z38" s="35" t="e">
        <v>#REF!</v>
      </c>
      <c r="AA38" s="35" t="e">
        <v>#REF!</v>
      </c>
      <c r="AB38" s="35" t="e">
        <v>#REF!</v>
      </c>
      <c r="AC38" s="35" t="e">
        <v>#REF!</v>
      </c>
      <c r="AD38" s="35" t="e">
        <v>#REF!</v>
      </c>
      <c r="AE38" s="35" t="e">
        <v>#REF!</v>
      </c>
      <c r="AF38" s="35" t="e">
        <v>#REF!</v>
      </c>
      <c r="AG38" s="35" t="e">
        <v>#REF!</v>
      </c>
      <c r="AH38" s="35" t="e">
        <v>#REF!</v>
      </c>
      <c r="AI38" s="35" t="e">
        <v>#REF!</v>
      </c>
      <c r="AJ38" s="35" t="e">
        <v>#REF!</v>
      </c>
      <c r="AK38" s="35" t="e">
        <v>#REF!</v>
      </c>
      <c r="AL38" s="35"/>
      <c r="AM38" s="35">
        <v>0.5805659734060689</v>
      </c>
      <c r="AN38" s="35">
        <v>0.5860460184497932</v>
      </c>
      <c r="AO38" s="228">
        <v>-0.5480045043724346</v>
      </c>
      <c r="AP38" s="41"/>
      <c r="AQ38" s="35"/>
      <c r="AR38" s="35">
        <v>0.6189741764543046</v>
      </c>
      <c r="AS38" s="35">
        <v>0.5170606176134197</v>
      </c>
      <c r="AT38" s="35">
        <v>0.08876221498371335</v>
      </c>
      <c r="AU38" s="35">
        <v>0.3853070919579233</v>
      </c>
      <c r="AV38" s="35">
        <v>0.5802978911664947</v>
      </c>
      <c r="AW38" s="35">
        <v>0.5373855288316394</v>
      </c>
      <c r="AX38" s="35">
        <v>0.3037051015914953</v>
      </c>
      <c r="AY38" s="358">
        <v>0.547</v>
      </c>
      <c r="AZ38" s="358">
        <v>0.569</v>
      </c>
      <c r="BA38" s="358">
        <v>0.639</v>
      </c>
      <c r="BB38" s="3"/>
      <c r="BC38" s="210"/>
      <c r="BD38" s="210"/>
      <c r="BG38" s="210"/>
    </row>
    <row r="39" spans="1:59" s="96" customFormat="1" ht="12.75" customHeight="1">
      <c r="A39" s="145" t="s">
        <v>266</v>
      </c>
      <c r="B39" s="142"/>
      <c r="C39" s="228">
        <v>-20.077090171123267</v>
      </c>
      <c r="D39" s="35"/>
      <c r="E39" s="35"/>
      <c r="F39" s="35"/>
      <c r="G39" s="35">
        <v>0.534773082942097</v>
      </c>
      <c r="H39" s="35">
        <v>0.6641149452361323</v>
      </c>
      <c r="I39" s="35">
        <v>1.002672697368421</v>
      </c>
      <c r="J39" s="35">
        <v>0.8745525291828794</v>
      </c>
      <c r="K39" s="35">
        <v>0.7355439846533297</v>
      </c>
      <c r="L39" s="35">
        <v>0.5544908234529804</v>
      </c>
      <c r="M39" s="35">
        <v>0.7421860551137415</v>
      </c>
      <c r="N39" s="35">
        <v>0.7077834635065985</v>
      </c>
      <c r="O39" s="35">
        <v>0.4980579623543472</v>
      </c>
      <c r="P39" s="35">
        <v>-4.712574850299402</v>
      </c>
      <c r="Q39" s="35">
        <v>3.9047619047619047</v>
      </c>
      <c r="R39" s="35">
        <v>1.220563847429519</v>
      </c>
      <c r="S39" s="35">
        <v>0.036057692307692304</v>
      </c>
      <c r="T39" s="35">
        <v>0.01662049861495845</v>
      </c>
      <c r="U39" s="35">
        <v>-0.03289473684210526</v>
      </c>
      <c r="V39" s="35">
        <v>0.5778477389811105</v>
      </c>
      <c r="W39" s="35">
        <v>0.02702702702702703</v>
      </c>
      <c r="X39" s="35" t="e">
        <v>#REF!</v>
      </c>
      <c r="Y39" s="35" t="e">
        <v>#REF!</v>
      </c>
      <c r="Z39" s="35" t="e">
        <v>#REF!</v>
      </c>
      <c r="AA39" s="35" t="e">
        <v>#REF!</v>
      </c>
      <c r="AB39" s="35" t="e">
        <v>#REF!</v>
      </c>
      <c r="AC39" s="35" t="e">
        <v>#REF!</v>
      </c>
      <c r="AD39" s="35" t="e">
        <v>#REF!</v>
      </c>
      <c r="AE39" s="35" t="e">
        <v>#REF!</v>
      </c>
      <c r="AF39" s="35" t="e">
        <v>#REF!</v>
      </c>
      <c r="AG39" s="35" t="e">
        <v>#REF!</v>
      </c>
      <c r="AH39" s="35" t="e">
        <v>#REF!</v>
      </c>
      <c r="AI39" s="35" t="e">
        <v>#REF!</v>
      </c>
      <c r="AJ39" s="35" t="e">
        <v>#REF!</v>
      </c>
      <c r="AK39" s="35" t="e">
        <v>#REF!</v>
      </c>
      <c r="AL39" s="35"/>
      <c r="AM39" s="35">
        <v>0.6498124786907603</v>
      </c>
      <c r="AN39" s="35">
        <v>0.6783480012723996</v>
      </c>
      <c r="AO39" s="228">
        <v>-2.853552258163927</v>
      </c>
      <c r="AP39" s="41"/>
      <c r="AQ39" s="35"/>
      <c r="AR39" s="35">
        <v>0.7282002610036777</v>
      </c>
      <c r="AS39" s="35">
        <v>0.737037743042318</v>
      </c>
      <c r="AT39" s="35">
        <v>0.6205211726384365</v>
      </c>
      <c r="AU39" s="35">
        <v>0.39107567017305733</v>
      </c>
      <c r="AV39" s="35">
        <v>0.588261318389618</v>
      </c>
      <c r="AW39" s="35">
        <v>0.5421153265573111</v>
      </c>
      <c r="AX39" s="35">
        <v>0.3061583946656602</v>
      </c>
      <c r="AY39" s="358">
        <v>0.573</v>
      </c>
      <c r="AZ39" s="358">
        <v>0.645</v>
      </c>
      <c r="BA39" s="358">
        <v>0.708</v>
      </c>
      <c r="BB39" s="3"/>
      <c r="BC39" s="210"/>
      <c r="BD39" s="210"/>
      <c r="BG39" s="210"/>
    </row>
    <row r="40" spans="1:59" s="96" customFormat="1" ht="12.75" customHeight="1">
      <c r="A40" s="145" t="s">
        <v>85</v>
      </c>
      <c r="B40" s="142"/>
      <c r="C40" s="228">
        <v>-39.58144469876414</v>
      </c>
      <c r="D40" s="35"/>
      <c r="E40" s="35"/>
      <c r="F40" s="35"/>
      <c r="G40" s="35">
        <v>0.22284820031298905</v>
      </c>
      <c r="H40" s="35">
        <v>0.403957131079967</v>
      </c>
      <c r="I40" s="35">
        <v>0.908922697368421</v>
      </c>
      <c r="J40" s="35">
        <v>0.5642023346303502</v>
      </c>
      <c r="K40" s="35">
        <v>0.6186626473006304</v>
      </c>
      <c r="L40" s="35">
        <v>0.662010719506253</v>
      </c>
      <c r="M40" s="35">
        <v>0.7351581283521361</v>
      </c>
      <c r="N40" s="35">
        <v>0.968758416374899</v>
      </c>
      <c r="O40" s="35">
        <v>0.5959067821930086</v>
      </c>
      <c r="P40" s="35">
        <v>-5.640718562874252</v>
      </c>
      <c r="Q40" s="35">
        <v>4.182539682539683</v>
      </c>
      <c r="R40" s="35">
        <v>0.9635157545605307</v>
      </c>
      <c r="S40" s="35">
        <v>0.3269230769230769</v>
      </c>
      <c r="T40" s="35">
        <v>0.07756232686980609</v>
      </c>
      <c r="U40" s="35">
        <v>-0.25</v>
      </c>
      <c r="V40" s="35">
        <v>-0.07870635374928449</v>
      </c>
      <c r="W40" s="35">
        <v>0.5015015015015015</v>
      </c>
      <c r="X40" s="35" t="e">
        <v>#REF!</v>
      </c>
      <c r="Y40" s="35" t="e">
        <v>#REF!</v>
      </c>
      <c r="Z40" s="35" t="e">
        <v>#REF!</v>
      </c>
      <c r="AA40" s="35" t="e">
        <v>#REF!</v>
      </c>
      <c r="AB40" s="35" t="e">
        <v>#REF!</v>
      </c>
      <c r="AC40" s="35" t="e">
        <v>#REF!</v>
      </c>
      <c r="AD40" s="35" t="e">
        <v>#REF!</v>
      </c>
      <c r="AE40" s="35" t="e">
        <v>#REF!</v>
      </c>
      <c r="AF40" s="35" t="e">
        <v>#REF!</v>
      </c>
      <c r="AG40" s="35" t="e">
        <v>#REF!</v>
      </c>
      <c r="AH40" s="35" t="e">
        <v>#REF!</v>
      </c>
      <c r="AI40" s="35" t="e">
        <v>#REF!</v>
      </c>
      <c r="AJ40" s="35" t="e">
        <v>#REF!</v>
      </c>
      <c r="AK40" s="35" t="e">
        <v>#REF!</v>
      </c>
      <c r="AL40" s="35"/>
      <c r="AM40" s="35">
        <v>0.38905557449710193</v>
      </c>
      <c r="AN40" s="35">
        <v>0.666207189057364</v>
      </c>
      <c r="AO40" s="228">
        <v>-27.715161456026205</v>
      </c>
      <c r="AP40" s="41"/>
      <c r="AQ40" s="35"/>
      <c r="AR40" s="35">
        <v>0.6402894768062641</v>
      </c>
      <c r="AS40" s="35">
        <v>0.9132672512390393</v>
      </c>
      <c r="AT40" s="35">
        <v>0.6376221498371335</v>
      </c>
      <c r="AU40" s="35">
        <v>0.025110281642348152</v>
      </c>
      <c r="AV40" s="35">
        <v>0.032886005014009734</v>
      </c>
      <c r="AW40" s="35">
        <v>0.011975445305424172</v>
      </c>
      <c r="AX40" s="35">
        <v>0.00786311882745172</v>
      </c>
      <c r="AY40" s="371">
        <v>0.094</v>
      </c>
      <c r="AZ40" s="371">
        <v>0.093</v>
      </c>
      <c r="BA40" s="371">
        <v>0.104</v>
      </c>
      <c r="BB40" s="3"/>
      <c r="BC40" s="210"/>
      <c r="BD40" s="210"/>
      <c r="BG40" s="210"/>
    </row>
    <row r="41" spans="1:59" s="96" customFormat="1" ht="12.75" customHeight="1">
      <c r="A41" s="145" t="s">
        <v>86</v>
      </c>
      <c r="B41" s="142"/>
      <c r="C41" s="228">
        <v>-59.658534869887404</v>
      </c>
      <c r="D41" s="35"/>
      <c r="E41" s="35"/>
      <c r="F41" s="35"/>
      <c r="G41" s="35">
        <v>0.757621283255086</v>
      </c>
      <c r="H41" s="35">
        <v>1.0680720763160994</v>
      </c>
      <c r="I41" s="35">
        <v>1.911595394736842</v>
      </c>
      <c r="J41" s="35">
        <v>1.4387548638132295</v>
      </c>
      <c r="K41" s="35">
        <v>1.35420663195396</v>
      </c>
      <c r="L41" s="35">
        <v>1.2165015429592334</v>
      </c>
      <c r="M41" s="35">
        <v>1.4773441834658776</v>
      </c>
      <c r="N41" s="35">
        <v>1.6765418798814975</v>
      </c>
      <c r="O41" s="35">
        <v>1.093964744547356</v>
      </c>
      <c r="P41" s="35">
        <v>-10.353293413173652</v>
      </c>
      <c r="Q41" s="35">
        <v>8.087301587301587</v>
      </c>
      <c r="R41" s="35">
        <v>2.18407960199005</v>
      </c>
      <c r="S41" s="35">
        <v>0.3629807692307692</v>
      </c>
      <c r="T41" s="35">
        <v>0.09418282548476455</v>
      </c>
      <c r="U41" s="35">
        <v>-0.28289473684210525</v>
      </c>
      <c r="V41" s="35">
        <v>0.499141385231826</v>
      </c>
      <c r="W41" s="35">
        <v>0.5285285285285285</v>
      </c>
      <c r="X41" s="35" t="e">
        <v>#REF!</v>
      </c>
      <c r="Y41" s="35" t="e">
        <v>#REF!</v>
      </c>
      <c r="Z41" s="35" t="e">
        <v>#REF!</v>
      </c>
      <c r="AA41" s="35" t="e">
        <v>#REF!</v>
      </c>
      <c r="AB41" s="35" t="e">
        <v>#REF!</v>
      </c>
      <c r="AC41" s="35" t="e">
        <v>#REF!</v>
      </c>
      <c r="AD41" s="35" t="e">
        <v>#REF!</v>
      </c>
      <c r="AE41" s="35" t="e">
        <v>#REF!</v>
      </c>
      <c r="AF41" s="35" t="e">
        <v>#REF!</v>
      </c>
      <c r="AG41" s="35" t="e">
        <v>#REF!</v>
      </c>
      <c r="AH41" s="35" t="e">
        <v>#REF!</v>
      </c>
      <c r="AI41" s="35" t="e">
        <v>#REF!</v>
      </c>
      <c r="AJ41" s="35" t="e">
        <v>#REF!</v>
      </c>
      <c r="AK41" s="35" t="e">
        <v>#REF!</v>
      </c>
      <c r="AL41" s="35"/>
      <c r="AM41" s="35">
        <v>1.0388680531878622</v>
      </c>
      <c r="AN41" s="35">
        <v>1.3445551903297634</v>
      </c>
      <c r="AO41" s="228">
        <v>-30.56871371419012</v>
      </c>
      <c r="AP41" s="41"/>
      <c r="AQ41" s="35"/>
      <c r="AR41" s="35">
        <v>1.3684897378099419</v>
      </c>
      <c r="AS41" s="35">
        <v>1.6503049942813572</v>
      </c>
      <c r="AT41" s="35">
        <v>1.25814332247557</v>
      </c>
      <c r="AU41" s="35">
        <v>0.4161859518154055</v>
      </c>
      <c r="AV41" s="35">
        <v>0.6211473234036278</v>
      </c>
      <c r="AW41" s="35">
        <v>0.5540907718627353</v>
      </c>
      <c r="AX41" s="35">
        <v>0.3140215134931119</v>
      </c>
      <c r="AY41" s="371">
        <v>0.6669999999999999</v>
      </c>
      <c r="AZ41" s="371">
        <v>0.738</v>
      </c>
      <c r="BA41" s="371">
        <v>0.8119999999999999</v>
      </c>
      <c r="BB41" s="3"/>
      <c r="BC41" s="210"/>
      <c r="BD41" s="210"/>
      <c r="BG41" s="210"/>
    </row>
    <row r="42" spans="1:59" s="96" customFormat="1" ht="12.75" customHeight="1">
      <c r="A42" s="145" t="s">
        <v>87</v>
      </c>
      <c r="B42" s="142"/>
      <c r="C42" s="228">
        <v>59.65853486988739</v>
      </c>
      <c r="D42" s="35"/>
      <c r="E42" s="35"/>
      <c r="F42" s="35"/>
      <c r="G42" s="35">
        <v>0.24237871674491393</v>
      </c>
      <c r="H42" s="35">
        <v>-0.0680720763160994</v>
      </c>
      <c r="I42" s="35">
        <v>-0.9115953947368421</v>
      </c>
      <c r="J42" s="35">
        <v>-0.4387548638132296</v>
      </c>
      <c r="K42" s="35">
        <v>-0.35420663195396</v>
      </c>
      <c r="L42" s="35">
        <v>-0.2165015429592334</v>
      </c>
      <c r="M42" s="35">
        <v>-0.4773441834658776</v>
      </c>
      <c r="N42" s="35">
        <v>-0.6765418798814974</v>
      </c>
      <c r="O42" s="35">
        <v>-0.09396474454735584</v>
      </c>
      <c r="P42" s="35">
        <v>11.353293413173652</v>
      </c>
      <c r="Q42" s="35">
        <v>-7.087301587301587</v>
      </c>
      <c r="R42" s="35">
        <v>-1.1840796019900497</v>
      </c>
      <c r="S42" s="35">
        <v>0.6370192307692307</v>
      </c>
      <c r="T42" s="35">
        <v>0.9058171745152355</v>
      </c>
      <c r="U42" s="35">
        <v>1.2828947368421053</v>
      </c>
      <c r="V42" s="35">
        <v>0.5008586147681741</v>
      </c>
      <c r="W42" s="35">
        <v>0.47147147147147145</v>
      </c>
      <c r="X42" s="35" t="e">
        <v>#REF!</v>
      </c>
      <c r="Y42" s="35" t="e">
        <v>#REF!</v>
      </c>
      <c r="Z42" s="35" t="e">
        <v>#REF!</v>
      </c>
      <c r="AA42" s="35" t="e">
        <v>#REF!</v>
      </c>
      <c r="AB42" s="35" t="e">
        <v>#REF!</v>
      </c>
      <c r="AC42" s="35" t="e">
        <v>#REF!</v>
      </c>
      <c r="AD42" s="35" t="e">
        <v>#REF!</v>
      </c>
      <c r="AE42" s="35" t="e">
        <v>#REF!</v>
      </c>
      <c r="AF42" s="35" t="e">
        <v>#REF!</v>
      </c>
      <c r="AG42" s="35" t="e">
        <v>#REF!</v>
      </c>
      <c r="AH42" s="35" t="e">
        <v>#REF!</v>
      </c>
      <c r="AI42" s="35" t="e">
        <v>#REF!</v>
      </c>
      <c r="AJ42" s="35" t="e">
        <v>#REF!</v>
      </c>
      <c r="AK42" s="35" t="e">
        <v>#REF!</v>
      </c>
      <c r="AL42" s="35"/>
      <c r="AM42" s="35">
        <v>-0.03886805318786226</v>
      </c>
      <c r="AN42" s="35">
        <v>-0.34455519032976356</v>
      </c>
      <c r="AO42" s="228">
        <v>30.56871371419013</v>
      </c>
      <c r="AP42" s="41"/>
      <c r="AQ42" s="35"/>
      <c r="AR42" s="35">
        <v>-0.3684897378099419</v>
      </c>
      <c r="AS42" s="35">
        <v>-0.6503049942813572</v>
      </c>
      <c r="AT42" s="35">
        <v>-0.25814332247557004</v>
      </c>
      <c r="AU42" s="35">
        <v>0.5838140481845945</v>
      </c>
      <c r="AV42" s="35">
        <v>0.37885267659637223</v>
      </c>
      <c r="AW42" s="35">
        <v>0.44590922813726475</v>
      </c>
      <c r="AX42" s="35">
        <v>0.6859784865068881</v>
      </c>
      <c r="AY42" s="358">
        <v>0.33309769658459093</v>
      </c>
      <c r="AZ42" s="358">
        <v>0.26208975794642086</v>
      </c>
      <c r="BA42" s="358">
        <v>0.18800000000000006</v>
      </c>
      <c r="BB42" s="3"/>
      <c r="BC42" s="210"/>
      <c r="BD42" s="210"/>
      <c r="BG42" s="210"/>
    </row>
    <row r="43" spans="1:59" s="96" customFormat="1" ht="12.75" customHeight="1">
      <c r="A43" s="143"/>
      <c r="B43" s="142"/>
      <c r="C43" s="35"/>
      <c r="D43" s="35"/>
      <c r="E43" s="35"/>
      <c r="F43" s="83"/>
      <c r="G43" s="83"/>
      <c r="H43" s="83"/>
      <c r="I43" s="83"/>
      <c r="J43" s="83"/>
      <c r="K43" s="83"/>
      <c r="L43" s="83"/>
      <c r="M43" s="83"/>
      <c r="N43" s="35"/>
      <c r="O43" s="35"/>
      <c r="P43" s="35"/>
      <c r="Q43" s="83"/>
      <c r="R43" s="35"/>
      <c r="S43" s="35"/>
      <c r="T43" s="35"/>
      <c r="U43" s="83"/>
      <c r="V43" s="35"/>
      <c r="W43" s="35"/>
      <c r="X43" s="35"/>
      <c r="Y43" s="83"/>
      <c r="Z43" s="35"/>
      <c r="AA43" s="35"/>
      <c r="AB43" s="35"/>
      <c r="AC43" s="83"/>
      <c r="AD43" s="83"/>
      <c r="AE43" s="83"/>
      <c r="AF43" s="83"/>
      <c r="AG43" s="83"/>
      <c r="AH43" s="83"/>
      <c r="AI43" s="83"/>
      <c r="AJ43" s="83"/>
      <c r="AK43" s="83"/>
      <c r="AL43" s="35"/>
      <c r="AM43" s="35"/>
      <c r="AN43" s="35"/>
      <c r="AO43" s="254"/>
      <c r="AP43" s="41"/>
      <c r="AQ43" s="35"/>
      <c r="AR43" s="276"/>
      <c r="AS43" s="276"/>
      <c r="AT43" s="276"/>
      <c r="AU43" s="35"/>
      <c r="AV43" s="35"/>
      <c r="AW43" s="35"/>
      <c r="AX43" s="35"/>
      <c r="AY43" s="358"/>
      <c r="AZ43" s="358"/>
      <c r="BA43" s="358"/>
      <c r="BB43" s="3"/>
      <c r="BC43" s="210"/>
      <c r="BD43" s="210"/>
      <c r="BG43" s="210"/>
    </row>
    <row r="44" spans="1:59" s="96" customFormat="1" ht="12.75" customHeight="1">
      <c r="A44" s="83" t="s">
        <v>100</v>
      </c>
      <c r="B44" s="142"/>
      <c r="C44" s="167">
        <v>3</v>
      </c>
      <c r="D44" s="41">
        <v>0.030303030303030304</v>
      </c>
      <c r="E44" s="41"/>
      <c r="F44" s="180"/>
      <c r="G44" s="180">
        <v>102</v>
      </c>
      <c r="H44" s="460">
        <v>100</v>
      </c>
      <c r="I44" s="460">
        <v>98</v>
      </c>
      <c r="J44" s="460">
        <v>98</v>
      </c>
      <c r="K44" s="460">
        <v>99</v>
      </c>
      <c r="L44" s="460">
        <v>96</v>
      </c>
      <c r="M44" s="460">
        <v>93</v>
      </c>
      <c r="N44" s="460">
        <v>80</v>
      </c>
      <c r="O44" s="460">
        <v>69</v>
      </c>
      <c r="P44" s="460">
        <v>36</v>
      </c>
      <c r="Q44" s="180">
        <v>36</v>
      </c>
      <c r="R44" s="180">
        <v>41</v>
      </c>
      <c r="S44" s="180">
        <v>1</v>
      </c>
      <c r="T44" s="180">
        <v>1</v>
      </c>
      <c r="U44" s="180">
        <v>1</v>
      </c>
      <c r="V44" s="180">
        <v>1</v>
      </c>
      <c r="W44" s="180">
        <v>1</v>
      </c>
      <c r="X44" s="180">
        <v>1</v>
      </c>
      <c r="Y44" s="180">
        <v>7</v>
      </c>
      <c r="Z44" s="148">
        <v>114</v>
      </c>
      <c r="AA44" s="83">
        <v>117</v>
      </c>
      <c r="AB44" s="144">
        <v>127</v>
      </c>
      <c r="AC44" s="83">
        <v>125</v>
      </c>
      <c r="AD44" s="83">
        <v>125</v>
      </c>
      <c r="AE44" s="83">
        <v>116</v>
      </c>
      <c r="AF44" s="83">
        <v>109</v>
      </c>
      <c r="AG44" s="83">
        <v>104</v>
      </c>
      <c r="AH44" s="83">
        <v>93</v>
      </c>
      <c r="AI44" s="83">
        <v>95</v>
      </c>
      <c r="AJ44" s="83">
        <v>89</v>
      </c>
      <c r="AK44" s="83">
        <v>88</v>
      </c>
      <c r="AL44" s="245"/>
      <c r="AM44" s="1377">
        <v>102</v>
      </c>
      <c r="AN44" s="739">
        <v>99</v>
      </c>
      <c r="AO44" s="254">
        <v>3</v>
      </c>
      <c r="AP44" s="41">
        <v>0.030303030303030304</v>
      </c>
      <c r="AQ44" s="245"/>
      <c r="AR44" s="276">
        <v>98</v>
      </c>
      <c r="AS44" s="276">
        <v>80</v>
      </c>
      <c r="AT44" s="276">
        <v>41</v>
      </c>
      <c r="AU44" s="276">
        <v>1</v>
      </c>
      <c r="AV44" s="276">
        <v>9</v>
      </c>
      <c r="AW44" s="741">
        <v>1</v>
      </c>
      <c r="AX44" s="741">
        <v>1</v>
      </c>
      <c r="AY44" s="352">
        <v>81</v>
      </c>
      <c r="AZ44" s="352">
        <v>70</v>
      </c>
      <c r="BA44" s="352">
        <v>52</v>
      </c>
      <c r="BB44" s="3"/>
      <c r="BC44" s="210"/>
      <c r="BD44" s="210"/>
      <c r="BG44" s="210"/>
    </row>
    <row r="45" spans="1:59" s="96" customFormat="1" ht="12.75" customHeight="1">
      <c r="A45" s="83"/>
      <c r="B45" s="142"/>
      <c r="C45" s="167"/>
      <c r="D45" s="41"/>
      <c r="E45" s="41"/>
      <c r="F45" s="83"/>
      <c r="G45" s="83"/>
      <c r="H45" s="83"/>
      <c r="I45" s="83"/>
      <c r="J45" s="83"/>
      <c r="K45" s="83"/>
      <c r="L45" s="83"/>
      <c r="M45" s="83"/>
      <c r="N45" s="148"/>
      <c r="O45" s="83"/>
      <c r="P45" s="83"/>
      <c r="Q45" s="83"/>
      <c r="R45" s="148"/>
      <c r="S45" s="83"/>
      <c r="T45" s="144"/>
      <c r="U45" s="83"/>
      <c r="V45" s="148"/>
      <c r="W45" s="83"/>
      <c r="X45" s="144"/>
      <c r="Y45" s="83"/>
      <c r="Z45" s="148"/>
      <c r="AA45" s="83"/>
      <c r="AB45" s="144"/>
      <c r="AC45" s="83"/>
      <c r="AD45" s="83"/>
      <c r="AE45" s="83"/>
      <c r="AF45" s="83"/>
      <c r="AG45" s="83"/>
      <c r="AH45" s="83"/>
      <c r="AI45" s="83"/>
      <c r="AJ45" s="83"/>
      <c r="AK45" s="83"/>
      <c r="AL45" s="245"/>
      <c r="AM45" s="245"/>
      <c r="AN45" s="245"/>
      <c r="AO45" s="254"/>
      <c r="AP45" s="41"/>
      <c r="AQ45" s="245"/>
      <c r="AR45" s="276"/>
      <c r="AS45" s="276"/>
      <c r="AT45" s="276"/>
      <c r="AU45" s="234"/>
      <c r="AV45" s="234"/>
      <c r="AW45" s="83"/>
      <c r="AX45" s="83"/>
      <c r="AY45" s="352"/>
      <c r="AZ45" s="352"/>
      <c r="BA45" s="352"/>
      <c r="BB45" s="3"/>
      <c r="BC45" s="210"/>
      <c r="BD45" s="210"/>
      <c r="BG45" s="210"/>
    </row>
    <row r="46" spans="1:59" ht="18" customHeight="1">
      <c r="A46" s="12" t="s">
        <v>324</v>
      </c>
      <c r="B46" s="7"/>
      <c r="C46" s="83"/>
      <c r="D46" s="83"/>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83"/>
      <c r="AG46" s="83"/>
      <c r="AH46" s="83"/>
      <c r="AI46" s="83"/>
      <c r="AJ46" s="83"/>
      <c r="AK46" s="83"/>
      <c r="AL46" s="83"/>
      <c r="AM46" s="83"/>
      <c r="AN46" s="83"/>
      <c r="AO46" s="633"/>
      <c r="AP46" s="633"/>
      <c r="AQ46" s="83"/>
      <c r="AR46" s="655"/>
      <c r="AS46" s="655"/>
      <c r="AT46" s="633"/>
      <c r="AU46" s="83"/>
      <c r="AV46" s="83"/>
      <c r="AW46" s="83"/>
      <c r="AX46" s="83"/>
      <c r="AY46" s="357"/>
      <c r="AZ46" s="357"/>
      <c r="BA46" s="357"/>
      <c r="BB46" s="3"/>
      <c r="BC46" s="3"/>
      <c r="BD46" s="3"/>
      <c r="BG46" s="3"/>
    </row>
    <row r="47" spans="1:59" ht="12.75" customHeight="1">
      <c r="A47" s="193"/>
      <c r="B47" s="7"/>
      <c r="C47" s="83"/>
      <c r="D47" s="83"/>
      <c r="E47" s="148"/>
      <c r="F47" s="148"/>
      <c r="G47" s="148"/>
      <c r="H47" s="148"/>
      <c r="I47" s="148"/>
      <c r="J47" s="148"/>
      <c r="K47" s="148"/>
      <c r="L47" s="148"/>
      <c r="M47" s="148"/>
      <c r="N47" s="468"/>
      <c r="O47" s="148"/>
      <c r="P47" s="148"/>
      <c r="Q47" s="148"/>
      <c r="R47" s="468"/>
      <c r="S47" s="148"/>
      <c r="T47" s="468"/>
      <c r="U47" s="148"/>
      <c r="V47" s="468"/>
      <c r="W47" s="148"/>
      <c r="X47" s="468"/>
      <c r="Y47" s="148"/>
      <c r="Z47" s="468"/>
      <c r="AA47" s="148"/>
      <c r="AB47" s="148"/>
      <c r="AC47" s="148"/>
      <c r="AD47" s="148"/>
      <c r="AE47" s="148"/>
      <c r="AF47" s="83"/>
      <c r="AG47" s="83"/>
      <c r="AH47" s="83"/>
      <c r="AI47" s="83"/>
      <c r="AJ47" s="83"/>
      <c r="AK47" s="83"/>
      <c r="AL47" s="83"/>
      <c r="AM47" s="83"/>
      <c r="AN47" s="83"/>
      <c r="AO47" s="633"/>
      <c r="AP47" s="633"/>
      <c r="AQ47" s="83"/>
      <c r="AR47" s="633"/>
      <c r="AS47" s="633"/>
      <c r="AT47" s="633"/>
      <c r="AU47" s="83"/>
      <c r="AV47" s="83"/>
      <c r="AW47" s="83"/>
      <c r="AX47" s="83"/>
      <c r="AY47" s="357"/>
      <c r="AZ47" s="357"/>
      <c r="BA47" s="357"/>
      <c r="BB47" s="3"/>
      <c r="BC47" s="3"/>
      <c r="BD47" s="3"/>
      <c r="BG47" s="3"/>
    </row>
    <row r="48" spans="1:59" ht="12.75" customHeight="1">
      <c r="A48" s="6"/>
      <c r="B48" s="7"/>
      <c r="C48" s="1437" t="s">
        <v>497</v>
      </c>
      <c r="D48" s="1438"/>
      <c r="E48" s="259"/>
      <c r="F48" s="477"/>
      <c r="G48" s="477"/>
      <c r="H48" s="1007"/>
      <c r="I48" s="1222"/>
      <c r="J48" s="1007"/>
      <c r="K48" s="1007"/>
      <c r="L48" s="1007"/>
      <c r="M48" s="1222"/>
      <c r="N48" s="1007"/>
      <c r="O48" s="1007"/>
      <c r="P48" s="1007"/>
      <c r="Q48" s="1007"/>
      <c r="R48" s="1118"/>
      <c r="S48" s="1007"/>
      <c r="T48" s="1007"/>
      <c r="U48" s="1007"/>
      <c r="V48" s="1118"/>
      <c r="W48" s="1007"/>
      <c r="X48" s="1007"/>
      <c r="Y48" s="1007"/>
      <c r="Z48" s="1118"/>
      <c r="AA48" s="1007"/>
      <c r="AB48" s="1222"/>
      <c r="AC48" s="1222"/>
      <c r="AD48" s="1222"/>
      <c r="AE48" s="1006"/>
      <c r="AF48" s="1006"/>
      <c r="AG48" s="966"/>
      <c r="AH48" s="1006"/>
      <c r="AI48" s="966"/>
      <c r="AJ48" s="966"/>
      <c r="AK48" s="1006"/>
      <c r="AL48" s="1005"/>
      <c r="AM48" s="725" t="s">
        <v>406</v>
      </c>
      <c r="AN48" s="711"/>
      <c r="AO48" s="711" t="s">
        <v>480</v>
      </c>
      <c r="AP48" s="712"/>
      <c r="AQ48" s="15"/>
      <c r="AR48" s="669"/>
      <c r="AS48" s="669"/>
      <c r="AT48" s="669"/>
      <c r="AU48" s="88"/>
      <c r="AV48" s="88"/>
      <c r="AW48" s="194"/>
      <c r="AX48" s="194"/>
      <c r="AY48" s="88"/>
      <c r="AZ48" s="88"/>
      <c r="BA48" s="88"/>
      <c r="BB48" s="3"/>
      <c r="BC48" s="3"/>
      <c r="BD48" s="3"/>
      <c r="BG48" s="3"/>
    </row>
    <row r="49" spans="1:59" ht="12.75" customHeight="1">
      <c r="A49" s="6" t="s">
        <v>107</v>
      </c>
      <c r="B49" s="689"/>
      <c r="C49" s="1439" t="s">
        <v>41</v>
      </c>
      <c r="D49" s="1440"/>
      <c r="E49" s="603"/>
      <c r="F49" s="21"/>
      <c r="G49" s="978" t="s">
        <v>430</v>
      </c>
      <c r="H49" s="978" t="s">
        <v>429</v>
      </c>
      <c r="I49" s="979" t="s">
        <v>427</v>
      </c>
      <c r="J49" s="978" t="s">
        <v>362</v>
      </c>
      <c r="K49" s="978" t="s">
        <v>363</v>
      </c>
      <c r="L49" s="978" t="s">
        <v>364</v>
      </c>
      <c r="M49" s="979" t="s">
        <v>365</v>
      </c>
      <c r="N49" s="978" t="s">
        <v>277</v>
      </c>
      <c r="O49" s="978" t="s">
        <v>278</v>
      </c>
      <c r="P49" s="978" t="s">
        <v>279</v>
      </c>
      <c r="Q49" s="979" t="s">
        <v>276</v>
      </c>
      <c r="R49" s="980" t="s">
        <v>222</v>
      </c>
      <c r="S49" s="978" t="s">
        <v>223</v>
      </c>
      <c r="T49" s="978" t="s">
        <v>224</v>
      </c>
      <c r="U49" s="978" t="e">
        <v>#REF!</v>
      </c>
      <c r="V49" s="980" t="s">
        <v>141</v>
      </c>
      <c r="W49" s="978" t="s">
        <v>140</v>
      </c>
      <c r="X49" s="978" t="s">
        <v>139</v>
      </c>
      <c r="Y49" s="978" t="s">
        <v>138</v>
      </c>
      <c r="Z49" s="980" t="s">
        <v>91</v>
      </c>
      <c r="AA49" s="978" t="s">
        <v>92</v>
      </c>
      <c r="AB49" s="979" t="s">
        <v>93</v>
      </c>
      <c r="AC49" s="979" t="s">
        <v>32</v>
      </c>
      <c r="AD49" s="979" t="s">
        <v>32</v>
      </c>
      <c r="AE49" s="1006"/>
      <c r="AF49" s="1006"/>
      <c r="AG49" s="966"/>
      <c r="AH49" s="1006"/>
      <c r="AI49" s="966"/>
      <c r="AJ49" s="966"/>
      <c r="AK49" s="1006"/>
      <c r="AL49" s="1005"/>
      <c r="AM49" s="21" t="s">
        <v>430</v>
      </c>
      <c r="AN49" s="21" t="s">
        <v>363</v>
      </c>
      <c r="AO49" s="1454" t="s">
        <v>41</v>
      </c>
      <c r="AP49" s="1440"/>
      <c r="AQ49" s="197"/>
      <c r="AR49" s="232" t="s">
        <v>367</v>
      </c>
      <c r="AS49" s="232" t="s">
        <v>285</v>
      </c>
      <c r="AT49" s="232" t="s">
        <v>143</v>
      </c>
      <c r="AU49" s="20" t="s">
        <v>142</v>
      </c>
      <c r="AV49" s="23" t="s">
        <v>45</v>
      </c>
      <c r="AW49" s="23" t="s">
        <v>42</v>
      </c>
      <c r="AX49" s="23" t="s">
        <v>43</v>
      </c>
      <c r="AY49" s="23" t="s">
        <v>165</v>
      </c>
      <c r="AZ49" s="23" t="s">
        <v>166</v>
      </c>
      <c r="BA49" s="23" t="s">
        <v>167</v>
      </c>
      <c r="BB49" s="3"/>
      <c r="BC49" s="3"/>
      <c r="BD49" s="3"/>
      <c r="BG49" s="3"/>
    </row>
    <row r="50" spans="1:59" ht="12.75" customHeight="1">
      <c r="A50" s="147"/>
      <c r="B50" s="148" t="s">
        <v>4</v>
      </c>
      <c r="C50" s="464">
        <v>8677</v>
      </c>
      <c r="D50" s="30">
        <v>1.1889558783228282</v>
      </c>
      <c r="E50" s="89"/>
      <c r="F50" s="380"/>
      <c r="G50" s="380">
        <v>15975</v>
      </c>
      <c r="H50" s="380">
        <v>8491</v>
      </c>
      <c r="I50" s="855">
        <v>4864</v>
      </c>
      <c r="J50" s="610">
        <v>6425</v>
      </c>
      <c r="K50" s="610">
        <v>7298</v>
      </c>
      <c r="L50" s="610">
        <v>6157</v>
      </c>
      <c r="M50" s="855">
        <v>5407</v>
      </c>
      <c r="N50" s="610">
        <v>3713</v>
      </c>
      <c r="O50" s="610">
        <v>6694</v>
      </c>
      <c r="P50" s="610">
        <v>-167</v>
      </c>
      <c r="Q50" s="424">
        <v>252</v>
      </c>
      <c r="R50" s="380">
        <v>603</v>
      </c>
      <c r="S50" s="380">
        <v>416</v>
      </c>
      <c r="T50" s="380">
        <v>361</v>
      </c>
      <c r="U50" s="424">
        <v>-152</v>
      </c>
      <c r="V50" s="380">
        <v>3494</v>
      </c>
      <c r="W50" s="380">
        <v>333</v>
      </c>
      <c r="X50" s="380" t="e">
        <v>#REF!</v>
      </c>
      <c r="Y50" s="424" t="e">
        <v>#REF!</v>
      </c>
      <c r="Z50" s="390" t="e">
        <v>#REF!</v>
      </c>
      <c r="AA50" s="380" t="e">
        <v>#REF!</v>
      </c>
      <c r="AB50" s="380" t="e">
        <v>#REF!</v>
      </c>
      <c r="AC50" s="424" t="e">
        <v>#REF!</v>
      </c>
      <c r="AD50" s="235" t="e">
        <v>#REF!</v>
      </c>
      <c r="AE50" s="235" t="e">
        <v>#REF!</v>
      </c>
      <c r="AF50" s="235" t="e">
        <v>#REF!</v>
      </c>
      <c r="AG50" s="236" t="e">
        <v>#REF!</v>
      </c>
      <c r="AH50" s="257" t="e">
        <v>#REF!</v>
      </c>
      <c r="AI50" s="236" t="e">
        <v>#REF!</v>
      </c>
      <c r="AJ50" s="236" t="e">
        <v>#REF!</v>
      </c>
      <c r="AK50" s="236" t="e">
        <v>#REF!</v>
      </c>
      <c r="AL50" s="89"/>
      <c r="AM50" s="738">
        <v>29330</v>
      </c>
      <c r="AN50" s="683">
        <v>18862</v>
      </c>
      <c r="AO50" s="736">
        <v>10468</v>
      </c>
      <c r="AP50" s="30">
        <v>0.5549782631746368</v>
      </c>
      <c r="AQ50" s="83"/>
      <c r="AR50" s="643">
        <v>25287</v>
      </c>
      <c r="AS50" s="643">
        <v>10492</v>
      </c>
      <c r="AT50" s="643">
        <v>1228</v>
      </c>
      <c r="AU50" s="179">
        <v>5894</v>
      </c>
      <c r="AV50" s="179">
        <v>6781</v>
      </c>
      <c r="AW50" s="201">
        <v>9937</v>
      </c>
      <c r="AX50" s="201">
        <v>15897</v>
      </c>
      <c r="AY50" s="368">
        <v>125900</v>
      </c>
      <c r="AZ50" s="368">
        <v>116090</v>
      </c>
      <c r="BA50" s="368">
        <v>84489</v>
      </c>
      <c r="BB50" s="3"/>
      <c r="BC50" s="3"/>
      <c r="BD50" s="3"/>
      <c r="BG50" s="3"/>
    </row>
    <row r="51" spans="1:59" ht="12.75" customHeight="1">
      <c r="A51" s="83"/>
      <c r="B51" s="148" t="s">
        <v>90</v>
      </c>
      <c r="C51" s="84">
        <v>2946</v>
      </c>
      <c r="D51" s="30">
        <v>0.35033892258294685</v>
      </c>
      <c r="E51" s="606"/>
      <c r="F51" s="466"/>
      <c r="G51" s="466">
        <v>11355</v>
      </c>
      <c r="H51" s="466">
        <v>8342</v>
      </c>
      <c r="I51" s="855">
        <v>8527</v>
      </c>
      <c r="J51" s="488">
        <v>7756</v>
      </c>
      <c r="K51" s="488">
        <v>8409</v>
      </c>
      <c r="L51" s="488">
        <v>6033</v>
      </c>
      <c r="M51" s="855">
        <v>6251</v>
      </c>
      <c r="N51" s="488">
        <v>5290</v>
      </c>
      <c r="O51" s="488">
        <v>6486</v>
      </c>
      <c r="P51" s="488">
        <v>1729</v>
      </c>
      <c r="Q51" s="424">
        <v>2038</v>
      </c>
      <c r="R51" s="466">
        <v>1317</v>
      </c>
      <c r="S51" s="466">
        <v>151</v>
      </c>
      <c r="T51" s="466">
        <v>34</v>
      </c>
      <c r="U51" s="424">
        <v>43</v>
      </c>
      <c r="V51" s="466">
        <v>1744</v>
      </c>
      <c r="W51" s="466">
        <v>176</v>
      </c>
      <c r="X51" s="466" t="e">
        <v>#REF!</v>
      </c>
      <c r="Y51" s="424" t="e">
        <v>#REF!</v>
      </c>
      <c r="Z51" s="466" t="e">
        <v>#REF!</v>
      </c>
      <c r="AA51" s="466" t="e">
        <v>#REF!</v>
      </c>
      <c r="AB51" s="466" t="e">
        <v>#REF!</v>
      </c>
      <c r="AC51" s="424" t="e">
        <v>#REF!</v>
      </c>
      <c r="AD51" s="234" t="e">
        <v>#REF!</v>
      </c>
      <c r="AE51" s="234" t="e">
        <v>#REF!</v>
      </c>
      <c r="AF51" s="234" t="e">
        <v>#REF!</v>
      </c>
      <c r="AG51" s="238" t="e">
        <v>#REF!</v>
      </c>
      <c r="AH51" s="201" t="e">
        <v>#REF!</v>
      </c>
      <c r="AI51" s="238" t="e">
        <v>#REF!</v>
      </c>
      <c r="AJ51" s="238" t="e">
        <v>#REF!</v>
      </c>
      <c r="AK51" s="238" t="e">
        <v>#REF!</v>
      </c>
      <c r="AL51" s="89"/>
      <c r="AM51" s="738">
        <v>28224</v>
      </c>
      <c r="AN51" s="683">
        <v>20693</v>
      </c>
      <c r="AO51" s="254">
        <v>7531</v>
      </c>
      <c r="AP51" s="30">
        <v>0.3639394964480742</v>
      </c>
      <c r="AQ51" s="83"/>
      <c r="AR51" s="635">
        <v>28449</v>
      </c>
      <c r="AS51" s="635">
        <v>15543</v>
      </c>
      <c r="AT51" s="635">
        <v>1545</v>
      </c>
      <c r="AU51" s="179">
        <v>2453</v>
      </c>
      <c r="AV51" s="179">
        <v>4212</v>
      </c>
      <c r="AW51" s="201">
        <v>5506</v>
      </c>
      <c r="AX51" s="201">
        <v>4992</v>
      </c>
      <c r="AY51" s="43">
        <v>83963</v>
      </c>
      <c r="AZ51" s="43">
        <v>85664</v>
      </c>
      <c r="BA51" s="43">
        <v>68575</v>
      </c>
      <c r="BB51" s="3"/>
      <c r="BC51" s="3"/>
      <c r="BD51" s="3"/>
      <c r="BG51" s="3"/>
    </row>
    <row r="52" spans="1:59" s="1408" customFormat="1" ht="24.75" customHeight="1">
      <c r="A52" s="1010"/>
      <c r="B52" s="1091" t="s">
        <v>216</v>
      </c>
      <c r="C52" s="1122">
        <v>5731</v>
      </c>
      <c r="D52" s="1224" t="s">
        <v>44</v>
      </c>
      <c r="E52" s="1130"/>
      <c r="F52" s="1124"/>
      <c r="G52" s="1124">
        <v>4620</v>
      </c>
      <c r="H52" s="1124">
        <v>149</v>
      </c>
      <c r="I52" s="1125">
        <v>-3663</v>
      </c>
      <c r="J52" s="1124">
        <v>-1331</v>
      </c>
      <c r="K52" s="1124">
        <v>-1111</v>
      </c>
      <c r="L52" s="1124">
        <v>124</v>
      </c>
      <c r="M52" s="855">
        <v>-844</v>
      </c>
      <c r="N52" s="488">
        <v>-1577</v>
      </c>
      <c r="O52" s="488">
        <v>208</v>
      </c>
      <c r="P52" s="488">
        <v>-1896</v>
      </c>
      <c r="Q52" s="855">
        <v>-1786</v>
      </c>
      <c r="R52" s="488">
        <v>-714</v>
      </c>
      <c r="S52" s="488">
        <v>265</v>
      </c>
      <c r="T52" s="488">
        <v>327</v>
      </c>
      <c r="U52" s="855">
        <v>-195</v>
      </c>
      <c r="V52" s="488">
        <v>1750</v>
      </c>
      <c r="W52" s="488">
        <v>157</v>
      </c>
      <c r="X52" s="488" t="e">
        <v>#REF!</v>
      </c>
      <c r="Y52" s="855" t="e">
        <v>#REF!</v>
      </c>
      <c r="Z52" s="488" t="e">
        <v>#REF!</v>
      </c>
      <c r="AA52" s="488" t="e">
        <v>#REF!</v>
      </c>
      <c r="AB52" s="488" t="e">
        <v>#REF!</v>
      </c>
      <c r="AC52" s="855" t="e">
        <v>#REF!</v>
      </c>
      <c r="AD52" s="488" t="e">
        <v>#REF!</v>
      </c>
      <c r="AE52" s="488" t="e">
        <v>#REF!</v>
      </c>
      <c r="AF52" s="488" t="e">
        <v>#REF!</v>
      </c>
      <c r="AG52" s="488" t="e">
        <v>#REF!</v>
      </c>
      <c r="AH52" s="1355" t="e">
        <v>#REF!</v>
      </c>
      <c r="AI52" s="762" t="e">
        <v>#REF!</v>
      </c>
      <c r="AJ52" s="762" t="e">
        <v>#REF!</v>
      </c>
      <c r="AK52" s="762" t="e">
        <v>#REF!</v>
      </c>
      <c r="AL52" s="662"/>
      <c r="AM52" s="621">
        <v>1106</v>
      </c>
      <c r="AN52" s="621">
        <v>-1831</v>
      </c>
      <c r="AO52" s="661">
        <v>2937</v>
      </c>
      <c r="AP52" s="1386">
        <v>-1.6040415073730203</v>
      </c>
      <c r="AQ52" s="1010"/>
      <c r="AR52" s="662">
        <v>-3162</v>
      </c>
      <c r="AS52" s="662">
        <v>-5051</v>
      </c>
      <c r="AT52" s="662">
        <v>-317</v>
      </c>
      <c r="AU52" s="662">
        <v>3441</v>
      </c>
      <c r="AV52" s="662">
        <v>2569</v>
      </c>
      <c r="AW52" s="1134">
        <v>4431</v>
      </c>
      <c r="AX52" s="1135">
        <v>10905</v>
      </c>
      <c r="AY52" s="1136">
        <v>41937</v>
      </c>
      <c r="AZ52" s="1136">
        <v>30426</v>
      </c>
      <c r="BA52" s="1136">
        <v>15914</v>
      </c>
      <c r="BB52" s="1407"/>
      <c r="BD52" s="1409"/>
      <c r="BE52" s="1409"/>
      <c r="BF52" s="1409"/>
      <c r="BG52" s="1409"/>
    </row>
    <row r="53" spans="1:59" s="1408" customFormat="1" ht="24.75" customHeight="1">
      <c r="A53" s="1010"/>
      <c r="B53" s="1091" t="s">
        <v>457</v>
      </c>
      <c r="C53" s="1137">
        <v>5731</v>
      </c>
      <c r="D53" s="1138" t="s">
        <v>44</v>
      </c>
      <c r="E53" s="1130"/>
      <c r="F53" s="1018"/>
      <c r="G53" s="1018">
        <v>4620</v>
      </c>
      <c r="H53" s="1018">
        <v>-1</v>
      </c>
      <c r="I53" s="1139">
        <v>-3663</v>
      </c>
      <c r="J53" s="1018">
        <v>-1331</v>
      </c>
      <c r="K53" s="1018">
        <v>-1111</v>
      </c>
      <c r="L53" s="1018">
        <v>124</v>
      </c>
      <c r="M53" s="1327">
        <v>-844</v>
      </c>
      <c r="N53" s="1339">
        <v>-1577</v>
      </c>
      <c r="O53" s="1339">
        <v>208</v>
      </c>
      <c r="P53" s="1339">
        <v>-1896</v>
      </c>
      <c r="Q53" s="1327">
        <v>-1786</v>
      </c>
      <c r="R53" s="1339">
        <v>-714</v>
      </c>
      <c r="S53" s="1339">
        <v>265</v>
      </c>
      <c r="T53" s="1339">
        <v>327</v>
      </c>
      <c r="U53" s="1327">
        <v>-195</v>
      </c>
      <c r="V53" s="1339">
        <v>1750</v>
      </c>
      <c r="W53" s="1339">
        <v>-1404</v>
      </c>
      <c r="X53" s="1339" t="e">
        <v>#REF!</v>
      </c>
      <c r="Y53" s="1327" t="e">
        <v>#REF!</v>
      </c>
      <c r="Z53" s="1339" t="e">
        <v>#REF!</v>
      </c>
      <c r="AA53" s="1339" t="e">
        <v>#REF!</v>
      </c>
      <c r="AB53" s="1339" t="e">
        <v>#REF!</v>
      </c>
      <c r="AC53" s="1327" t="e">
        <v>#REF!</v>
      </c>
      <c r="AD53" s="1339" t="e">
        <v>#REF!</v>
      </c>
      <c r="AE53" s="1339" t="e">
        <v>#REF!</v>
      </c>
      <c r="AF53" s="1339" t="e">
        <v>#REF!</v>
      </c>
      <c r="AG53" s="1339" t="e">
        <v>#REF!</v>
      </c>
      <c r="AH53" s="1356" t="e">
        <v>#REF!</v>
      </c>
      <c r="AI53" s="860" t="e">
        <v>#REF!</v>
      </c>
      <c r="AJ53" s="860" t="e">
        <v>#REF!</v>
      </c>
      <c r="AK53" s="860" t="e">
        <v>#REF!</v>
      </c>
      <c r="AL53" s="662"/>
      <c r="AM53" s="1339">
        <v>956</v>
      </c>
      <c r="AN53" s="611">
        <v>-1831</v>
      </c>
      <c r="AO53" s="1357">
        <v>2787</v>
      </c>
      <c r="AP53" s="1138">
        <v>-1.5221190606226105</v>
      </c>
      <c r="AQ53" s="1010"/>
      <c r="AR53" s="1326">
        <v>-3162</v>
      </c>
      <c r="AS53" s="1326">
        <v>-5051</v>
      </c>
      <c r="AT53" s="1326">
        <v>-317</v>
      </c>
      <c r="AU53" s="1326">
        <v>3441</v>
      </c>
      <c r="AV53" s="1326">
        <v>2569</v>
      </c>
      <c r="AW53" s="1036"/>
      <c r="AX53" s="1036"/>
      <c r="AY53" s="1050"/>
      <c r="AZ53" s="1050"/>
      <c r="BA53" s="1050"/>
      <c r="BB53" s="1409"/>
      <c r="BD53" s="1409"/>
      <c r="BE53" s="1409"/>
      <c r="BF53" s="1409"/>
      <c r="BG53" s="1409"/>
    </row>
    <row r="54" spans="1:59" s="625" customFormat="1" ht="12.75" customHeight="1">
      <c r="A54" s="83"/>
      <c r="B54" s="148"/>
      <c r="C54" s="153"/>
      <c r="D54" s="11"/>
      <c r="E54" s="11"/>
      <c r="F54" s="466"/>
      <c r="G54" s="466"/>
      <c r="H54" s="466"/>
      <c r="I54" s="380"/>
      <c r="J54" s="466"/>
      <c r="K54" s="466"/>
      <c r="L54" s="466"/>
      <c r="M54" s="380"/>
      <c r="N54" s="466"/>
      <c r="O54" s="466"/>
      <c r="P54" s="466"/>
      <c r="Q54" s="380"/>
      <c r="R54" s="466"/>
      <c r="S54" s="466"/>
      <c r="T54" s="466"/>
      <c r="U54" s="380"/>
      <c r="V54" s="466"/>
      <c r="W54" s="466"/>
      <c r="X54" s="466"/>
      <c r="Y54" s="380"/>
      <c r="Z54" s="466"/>
      <c r="AA54" s="466"/>
      <c r="AB54" s="466"/>
      <c r="AC54" s="380"/>
      <c r="AD54" s="234"/>
      <c r="AE54" s="234"/>
      <c r="AF54" s="234"/>
      <c r="AG54" s="234"/>
      <c r="AH54" s="234"/>
      <c r="AI54" s="234"/>
      <c r="AJ54" s="234"/>
      <c r="AK54" s="234"/>
      <c r="AL54" s="148"/>
      <c r="AM54" s="148"/>
      <c r="AN54" s="148"/>
      <c r="AO54" s="651"/>
      <c r="AP54" s="634"/>
      <c r="AQ54" s="83"/>
      <c r="AR54" s="631"/>
      <c r="AS54" s="631"/>
      <c r="AT54" s="631"/>
      <c r="AU54" s="380"/>
      <c r="AV54" s="380"/>
      <c r="AW54" s="234"/>
      <c r="AX54" s="234"/>
      <c r="AY54" s="31"/>
      <c r="AZ54" s="31"/>
      <c r="BA54" s="31"/>
      <c r="BB54" s="1410"/>
      <c r="BC54" s="1410"/>
      <c r="BD54" s="1410"/>
      <c r="BG54" s="1410"/>
    </row>
    <row r="55" spans="1:59" ht="15.75" customHeight="1">
      <c r="A55" s="12" t="s">
        <v>227</v>
      </c>
      <c r="B55" s="145"/>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468"/>
      <c r="AA55" s="148"/>
      <c r="AB55" s="148"/>
      <c r="AC55" s="148"/>
      <c r="AD55" s="148"/>
      <c r="AE55" s="148"/>
      <c r="AF55" s="148"/>
      <c r="AG55" s="7"/>
      <c r="AH55" s="148"/>
      <c r="AI55" s="7"/>
      <c r="AJ55" s="7"/>
      <c r="AK55" s="148"/>
      <c r="AL55" s="148"/>
      <c r="AM55" s="148"/>
      <c r="AN55" s="148"/>
      <c r="AO55" s="633"/>
      <c r="AP55" s="633"/>
      <c r="AQ55" s="148"/>
      <c r="AR55" s="633"/>
      <c r="AS55" s="633"/>
      <c r="AT55" s="633"/>
      <c r="AU55" s="148"/>
      <c r="AV55" s="148"/>
      <c r="AW55" s="148"/>
      <c r="AX55" s="148"/>
      <c r="AY55" s="31"/>
      <c r="AZ55" s="31"/>
      <c r="BA55" s="31"/>
      <c r="BB55" s="3"/>
      <c r="BC55" s="3"/>
      <c r="BD55" s="3"/>
      <c r="BG55" s="3"/>
    </row>
    <row r="56" spans="3:59" ht="12.75" customHeight="1">
      <c r="C56" s="1437" t="s">
        <v>497</v>
      </c>
      <c r="D56" s="1438"/>
      <c r="E56" s="259"/>
      <c r="F56" s="477"/>
      <c r="G56" s="477"/>
      <c r="H56" s="1007"/>
      <c r="I56" s="1222"/>
      <c r="J56" s="1007"/>
      <c r="K56" s="1007"/>
      <c r="L56" s="1007"/>
      <c r="M56" s="1222"/>
      <c r="N56" s="1007"/>
      <c r="O56" s="1007"/>
      <c r="P56" s="1007"/>
      <c r="Q56" s="1007"/>
      <c r="R56" s="1118"/>
      <c r="S56" s="1007"/>
      <c r="T56" s="1007"/>
      <c r="U56" s="1007"/>
      <c r="V56" s="1118"/>
      <c r="W56" s="1007"/>
      <c r="X56" s="1007"/>
      <c r="Y56" s="1007"/>
      <c r="Z56" s="1118"/>
      <c r="AA56" s="1007"/>
      <c r="AB56" s="1222"/>
      <c r="AC56" s="1222"/>
      <c r="AD56" s="1222"/>
      <c r="AE56" s="1006"/>
      <c r="AF56" s="1006"/>
      <c r="AG56" s="966"/>
      <c r="AH56" s="1006"/>
      <c r="AI56" s="966"/>
      <c r="AJ56" s="966"/>
      <c r="AK56" s="1006"/>
      <c r="AL56" s="1005"/>
      <c r="AM56" s="725" t="s">
        <v>406</v>
      </c>
      <c r="AN56" s="711"/>
      <c r="AO56" s="711" t="s">
        <v>480</v>
      </c>
      <c r="AP56" s="712"/>
      <c r="AQ56" s="148"/>
      <c r="AR56" s="669"/>
      <c r="AS56" s="669"/>
      <c r="AT56" s="669"/>
      <c r="AU56" s="88"/>
      <c r="AV56" s="88"/>
      <c r="AW56" s="194"/>
      <c r="AX56" s="194"/>
      <c r="AY56" s="88"/>
      <c r="AZ56" s="31"/>
      <c r="BA56" s="31"/>
      <c r="BB56" s="3"/>
      <c r="BC56" s="3"/>
      <c r="BD56" s="3"/>
      <c r="BG56" s="3"/>
    </row>
    <row r="57" spans="3:59" ht="12.75" customHeight="1">
      <c r="C57" s="1439" t="s">
        <v>41</v>
      </c>
      <c r="D57" s="1440"/>
      <c r="E57" s="603"/>
      <c r="F57" s="21"/>
      <c r="G57" s="978" t="s">
        <v>430</v>
      </c>
      <c r="H57" s="978" t="s">
        <v>429</v>
      </c>
      <c r="I57" s="979" t="s">
        <v>427</v>
      </c>
      <c r="J57" s="978" t="s">
        <v>362</v>
      </c>
      <c r="K57" s="978" t="s">
        <v>363</v>
      </c>
      <c r="L57" s="978" t="s">
        <v>364</v>
      </c>
      <c r="M57" s="979" t="s">
        <v>365</v>
      </c>
      <c r="N57" s="978" t="s">
        <v>277</v>
      </c>
      <c r="O57" s="978" t="s">
        <v>278</v>
      </c>
      <c r="P57" s="978" t="s">
        <v>279</v>
      </c>
      <c r="Q57" s="979" t="s">
        <v>276</v>
      </c>
      <c r="R57" s="980" t="s">
        <v>222</v>
      </c>
      <c r="S57" s="978" t="s">
        <v>223</v>
      </c>
      <c r="T57" s="978" t="s">
        <v>224</v>
      </c>
      <c r="U57" s="978" t="e">
        <v>#REF!</v>
      </c>
      <c r="V57" s="980" t="s">
        <v>141</v>
      </c>
      <c r="W57" s="978" t="s">
        <v>140</v>
      </c>
      <c r="X57" s="978" t="s">
        <v>139</v>
      </c>
      <c r="Y57" s="978" t="s">
        <v>138</v>
      </c>
      <c r="Z57" s="980" t="s">
        <v>91</v>
      </c>
      <c r="AA57" s="978" t="s">
        <v>92</v>
      </c>
      <c r="AB57" s="979" t="s">
        <v>93</v>
      </c>
      <c r="AC57" s="979" t="s">
        <v>32</v>
      </c>
      <c r="AD57" s="979" t="s">
        <v>32</v>
      </c>
      <c r="AE57" s="1006"/>
      <c r="AF57" s="1006"/>
      <c r="AG57" s="966"/>
      <c r="AH57" s="1006"/>
      <c r="AI57" s="966"/>
      <c r="AJ57" s="966"/>
      <c r="AK57" s="1006"/>
      <c r="AL57" s="1005"/>
      <c r="AM57" s="21" t="s">
        <v>430</v>
      </c>
      <c r="AN57" s="21" t="s">
        <v>363</v>
      </c>
      <c r="AO57" s="1454" t="s">
        <v>41</v>
      </c>
      <c r="AP57" s="1440"/>
      <c r="AQ57" s="148"/>
      <c r="AR57" s="232" t="s">
        <v>367</v>
      </c>
      <c r="AS57" s="232" t="s">
        <v>285</v>
      </c>
      <c r="AT57" s="232" t="s">
        <v>143</v>
      </c>
      <c r="AU57" s="20" t="s">
        <v>142</v>
      </c>
      <c r="AV57" s="23" t="s">
        <v>45</v>
      </c>
      <c r="AW57" s="23" t="s">
        <v>42</v>
      </c>
      <c r="AX57" s="23" t="s">
        <v>43</v>
      </c>
      <c r="AY57" s="23" t="s">
        <v>165</v>
      </c>
      <c r="AZ57" s="31"/>
      <c r="BA57" s="31"/>
      <c r="BB57" s="3"/>
      <c r="BC57" s="3"/>
      <c r="BD57" s="3"/>
      <c r="BG57" s="3"/>
    </row>
    <row r="58" spans="1:59" ht="12.75" customHeight="1">
      <c r="A58" s="83"/>
      <c r="B58" s="7" t="s">
        <v>475</v>
      </c>
      <c r="C58" s="84">
        <v>778</v>
      </c>
      <c r="D58" s="30">
        <v>0.4584560989982322</v>
      </c>
      <c r="E58" s="89"/>
      <c r="F58" s="736"/>
      <c r="G58" s="736">
        <v>2475</v>
      </c>
      <c r="H58" s="736">
        <v>1713</v>
      </c>
      <c r="I58" s="740">
        <v>1641</v>
      </c>
      <c r="J58" s="736">
        <v>1913</v>
      </c>
      <c r="K58" s="736">
        <v>1697</v>
      </c>
      <c r="L58" s="736">
        <v>2571</v>
      </c>
      <c r="M58" s="740">
        <v>1326</v>
      </c>
      <c r="N58" s="735">
        <v>892</v>
      </c>
      <c r="O58" s="736">
        <v>391</v>
      </c>
      <c r="P58" s="736">
        <v>0</v>
      </c>
      <c r="Q58" s="740">
        <v>0</v>
      </c>
      <c r="R58" s="735">
        <v>0</v>
      </c>
      <c r="S58" s="736">
        <v>0</v>
      </c>
      <c r="T58" s="736">
        <v>0</v>
      </c>
      <c r="U58" s="740">
        <v>0</v>
      </c>
      <c r="V58" s="254">
        <v>0</v>
      </c>
      <c r="W58" s="254">
        <v>0</v>
      </c>
      <c r="X58" s="254" t="e">
        <v>#REF!</v>
      </c>
      <c r="Y58" s="254" t="e">
        <v>#REF!</v>
      </c>
      <c r="Z58" s="254" t="e">
        <v>#REF!</v>
      </c>
      <c r="AA58" s="254" t="e">
        <v>#REF!</v>
      </c>
      <c r="AB58" s="353" t="e">
        <v>#REF!</v>
      </c>
      <c r="AC58" s="353" t="e">
        <v>#REF!</v>
      </c>
      <c r="AD58" s="424" t="e">
        <v>#REF!</v>
      </c>
      <c r="AE58" s="148" t="e">
        <v>#REF!</v>
      </c>
      <c r="AF58" s="148" t="e">
        <v>#REF!</v>
      </c>
      <c r="AG58" s="7" t="e">
        <v>#REF!</v>
      </c>
      <c r="AH58" s="148" t="e">
        <v>#REF!</v>
      </c>
      <c r="AI58" s="7" t="e">
        <v>#REF!</v>
      </c>
      <c r="AJ58" s="7" t="e">
        <v>#REF!</v>
      </c>
      <c r="AK58" s="148" t="e">
        <v>#REF!</v>
      </c>
      <c r="AL58" s="89"/>
      <c r="AM58" s="738">
        <v>5829</v>
      </c>
      <c r="AN58" s="683">
        <v>5594</v>
      </c>
      <c r="AO58" s="736">
        <v>235</v>
      </c>
      <c r="AP58" s="30">
        <v>0.04200929567393636</v>
      </c>
      <c r="AQ58" s="148"/>
      <c r="AR58" s="638">
        <v>7507</v>
      </c>
      <c r="AS58" s="638">
        <v>1283</v>
      </c>
      <c r="AT58" s="638">
        <v>0</v>
      </c>
      <c r="AU58" s="43">
        <v>0</v>
      </c>
      <c r="AV58" s="43">
        <v>1</v>
      </c>
      <c r="AW58" s="43">
        <v>0</v>
      </c>
      <c r="AX58" s="43">
        <v>0</v>
      </c>
      <c r="AY58" s="43">
        <v>14929</v>
      </c>
      <c r="AZ58" s="31"/>
      <c r="BA58" s="31"/>
      <c r="BB58" s="3"/>
      <c r="BC58" s="3"/>
      <c r="BD58" s="3"/>
      <c r="BG58" s="3"/>
    </row>
    <row r="59" spans="1:59" ht="12.75" customHeight="1">
      <c r="A59" s="83"/>
      <c r="B59" s="7" t="s">
        <v>70</v>
      </c>
      <c r="C59" s="84">
        <v>6631</v>
      </c>
      <c r="D59" s="30">
        <v>1.594373647511421</v>
      </c>
      <c r="E59" s="89"/>
      <c r="F59" s="254"/>
      <c r="G59" s="254">
        <v>10790</v>
      </c>
      <c r="H59" s="254">
        <v>5429</v>
      </c>
      <c r="I59" s="353">
        <v>2097</v>
      </c>
      <c r="J59" s="254">
        <v>3397</v>
      </c>
      <c r="K59" s="254">
        <v>4159</v>
      </c>
      <c r="L59" s="254">
        <v>2923</v>
      </c>
      <c r="M59" s="353">
        <v>3051</v>
      </c>
      <c r="N59" s="242">
        <v>1625</v>
      </c>
      <c r="O59" s="254">
        <v>758</v>
      </c>
      <c r="P59" s="254">
        <v>181</v>
      </c>
      <c r="Q59" s="353">
        <v>21</v>
      </c>
      <c r="R59" s="242">
        <v>0</v>
      </c>
      <c r="S59" s="254">
        <v>0</v>
      </c>
      <c r="T59" s="254">
        <v>0</v>
      </c>
      <c r="U59" s="353">
        <v>0</v>
      </c>
      <c r="V59" s="254">
        <v>3508</v>
      </c>
      <c r="W59" s="254">
        <v>316</v>
      </c>
      <c r="X59" s="254" t="e">
        <v>#REF!</v>
      </c>
      <c r="Y59" s="254" t="e">
        <v>#REF!</v>
      </c>
      <c r="Z59" s="254" t="e">
        <v>#REF!</v>
      </c>
      <c r="AA59" s="254" t="e">
        <v>#REF!</v>
      </c>
      <c r="AB59" s="353" t="e">
        <v>#REF!</v>
      </c>
      <c r="AC59" s="353" t="e">
        <v>#REF!</v>
      </c>
      <c r="AD59" s="424" t="e">
        <v>#REF!</v>
      </c>
      <c r="AE59" s="148" t="e">
        <v>#REF!</v>
      </c>
      <c r="AF59" s="148" t="e">
        <v>#REF!</v>
      </c>
      <c r="AG59" s="7" t="e">
        <v>#REF!</v>
      </c>
      <c r="AH59" s="148" t="e">
        <v>#REF!</v>
      </c>
      <c r="AI59" s="7" t="e">
        <v>#REF!</v>
      </c>
      <c r="AJ59" s="7" t="e">
        <v>#REF!</v>
      </c>
      <c r="AK59" s="148" t="e">
        <v>#REF!</v>
      </c>
      <c r="AL59" s="89"/>
      <c r="AM59" s="738">
        <v>18316</v>
      </c>
      <c r="AN59" s="683">
        <v>10133</v>
      </c>
      <c r="AO59" s="655">
        <v>8183</v>
      </c>
      <c r="AP59" s="30">
        <v>0.8075594591927366</v>
      </c>
      <c r="AQ59" s="148"/>
      <c r="AR59" s="639">
        <v>13530</v>
      </c>
      <c r="AS59" s="639">
        <v>2585</v>
      </c>
      <c r="AT59" s="639">
        <v>0</v>
      </c>
      <c r="AU59" s="43">
        <v>4655</v>
      </c>
      <c r="AV59" s="43">
        <v>7406</v>
      </c>
      <c r="AW59" s="43">
        <v>10110</v>
      </c>
      <c r="AX59" s="43">
        <v>6729</v>
      </c>
      <c r="AY59" s="43">
        <v>87191</v>
      </c>
      <c r="AZ59" s="31"/>
      <c r="BA59" s="31"/>
      <c r="BB59" s="3"/>
      <c r="BC59" s="3"/>
      <c r="BD59" s="3"/>
      <c r="BG59" s="3"/>
    </row>
    <row r="60" spans="1:59" ht="12.75" customHeight="1">
      <c r="A60" s="83"/>
      <c r="B60" s="7" t="s">
        <v>255</v>
      </c>
      <c r="C60" s="84">
        <v>626</v>
      </c>
      <c r="D60" s="30">
        <v>0.5525154457193292</v>
      </c>
      <c r="E60" s="89"/>
      <c r="F60" s="254"/>
      <c r="G60" s="254">
        <v>1759</v>
      </c>
      <c r="H60" s="254">
        <v>712</v>
      </c>
      <c r="I60" s="353">
        <v>638</v>
      </c>
      <c r="J60" s="254">
        <v>707</v>
      </c>
      <c r="K60" s="254">
        <v>1133</v>
      </c>
      <c r="L60" s="254">
        <v>455</v>
      </c>
      <c r="M60" s="353">
        <v>1053</v>
      </c>
      <c r="N60" s="242">
        <v>1020</v>
      </c>
      <c r="O60" s="254">
        <v>5528</v>
      </c>
      <c r="P60" s="254">
        <v>22</v>
      </c>
      <c r="Q60" s="353">
        <v>337</v>
      </c>
      <c r="R60" s="242">
        <v>191</v>
      </c>
      <c r="S60" s="254">
        <v>0</v>
      </c>
      <c r="T60" s="254">
        <v>0</v>
      </c>
      <c r="U60" s="353">
        <v>0</v>
      </c>
      <c r="V60" s="254">
        <v>0</v>
      </c>
      <c r="W60" s="254">
        <v>0</v>
      </c>
      <c r="X60" s="254" t="e">
        <v>#REF!</v>
      </c>
      <c r="Y60" s="254" t="e">
        <v>#REF!</v>
      </c>
      <c r="Z60" s="254" t="e">
        <v>#REF!</v>
      </c>
      <c r="AA60" s="254" t="e">
        <v>#REF!</v>
      </c>
      <c r="AB60" s="353" t="e">
        <v>#REF!</v>
      </c>
      <c r="AC60" s="353" t="e">
        <v>#REF!</v>
      </c>
      <c r="AD60" s="424" t="e">
        <v>#REF!</v>
      </c>
      <c r="AE60" s="148" t="e">
        <v>#REF!</v>
      </c>
      <c r="AF60" s="148" t="e">
        <v>#REF!</v>
      </c>
      <c r="AG60" s="7" t="e">
        <v>#REF!</v>
      </c>
      <c r="AH60" s="148" t="e">
        <v>#REF!</v>
      </c>
      <c r="AI60" s="7" t="e">
        <v>#REF!</v>
      </c>
      <c r="AJ60" s="7" t="e">
        <v>#REF!</v>
      </c>
      <c r="AK60" s="148" t="e">
        <v>#REF!</v>
      </c>
      <c r="AL60" s="89"/>
      <c r="AM60" s="738">
        <v>3109</v>
      </c>
      <c r="AN60" s="683">
        <v>2641</v>
      </c>
      <c r="AO60" s="655">
        <v>468</v>
      </c>
      <c r="AP60" s="30">
        <v>0.1772056039379023</v>
      </c>
      <c r="AQ60" s="148"/>
      <c r="AR60" s="639">
        <v>3348</v>
      </c>
      <c r="AS60" s="639">
        <v>6907</v>
      </c>
      <c r="AT60" s="639">
        <v>191</v>
      </c>
      <c r="AU60" s="43">
        <v>-724</v>
      </c>
      <c r="AV60" s="43">
        <v>0</v>
      </c>
      <c r="AW60" s="43">
        <v>0</v>
      </c>
      <c r="AX60" s="43">
        <v>0</v>
      </c>
      <c r="AY60" s="43">
        <v>3937</v>
      </c>
      <c r="AZ60" s="31"/>
      <c r="BA60" s="31"/>
      <c r="BB60" s="3"/>
      <c r="BC60" s="3"/>
      <c r="BD60" s="3"/>
      <c r="BG60" s="3"/>
    </row>
    <row r="61" spans="1:59" ht="12.75" customHeight="1">
      <c r="A61" s="83"/>
      <c r="B61" s="7" t="s">
        <v>71</v>
      </c>
      <c r="C61" s="84">
        <v>11</v>
      </c>
      <c r="D61" s="30">
        <v>-1</v>
      </c>
      <c r="E61" s="89"/>
      <c r="F61" s="254"/>
      <c r="G61" s="254">
        <v>0</v>
      </c>
      <c r="H61" s="254">
        <v>0</v>
      </c>
      <c r="I61" s="353">
        <v>-10</v>
      </c>
      <c r="J61" s="254">
        <v>8</v>
      </c>
      <c r="K61" s="254">
        <v>-11</v>
      </c>
      <c r="L61" s="254">
        <v>11</v>
      </c>
      <c r="M61" s="353">
        <v>-247</v>
      </c>
      <c r="N61" s="242">
        <v>-103</v>
      </c>
      <c r="O61" s="254">
        <v>-135</v>
      </c>
      <c r="P61" s="254">
        <v>-682</v>
      </c>
      <c r="Q61" s="353">
        <v>-172</v>
      </c>
      <c r="R61" s="242">
        <v>316</v>
      </c>
      <c r="S61" s="254">
        <v>377</v>
      </c>
      <c r="T61" s="254">
        <v>310</v>
      </c>
      <c r="U61" s="353">
        <v>-204</v>
      </c>
      <c r="V61" s="254">
        <v>-45</v>
      </c>
      <c r="W61" s="254">
        <v>1</v>
      </c>
      <c r="X61" s="254" t="e">
        <v>#REF!</v>
      </c>
      <c r="Y61" s="254" t="e">
        <v>#REF!</v>
      </c>
      <c r="Z61" s="254" t="e">
        <v>#REF!</v>
      </c>
      <c r="AA61" s="254" t="e">
        <v>#REF!</v>
      </c>
      <c r="AB61" s="353" t="e">
        <v>#REF!</v>
      </c>
      <c r="AC61" s="353" t="e">
        <v>#REF!</v>
      </c>
      <c r="AD61" s="424" t="e">
        <v>#REF!</v>
      </c>
      <c r="AE61" s="148" t="e">
        <v>#REF!</v>
      </c>
      <c r="AF61" s="148" t="e">
        <v>#REF!</v>
      </c>
      <c r="AG61" s="7" t="e">
        <v>#REF!</v>
      </c>
      <c r="AH61" s="148" t="e">
        <v>#REF!</v>
      </c>
      <c r="AI61" s="7" t="e">
        <v>#REF!</v>
      </c>
      <c r="AJ61" s="7" t="e">
        <v>#REF!</v>
      </c>
      <c r="AK61" s="148" t="e">
        <v>#REF!</v>
      </c>
      <c r="AL61" s="89"/>
      <c r="AM61" s="738">
        <v>-10</v>
      </c>
      <c r="AN61" s="683">
        <v>-247</v>
      </c>
      <c r="AO61" s="655">
        <v>237</v>
      </c>
      <c r="AP61" s="30">
        <v>0.9595141700404858</v>
      </c>
      <c r="AQ61" s="148"/>
      <c r="AR61" s="639">
        <v>-239</v>
      </c>
      <c r="AS61" s="639">
        <v>-1092</v>
      </c>
      <c r="AT61" s="639">
        <v>799</v>
      </c>
      <c r="AU61" s="43">
        <v>1657</v>
      </c>
      <c r="AV61" s="43">
        <v>-830</v>
      </c>
      <c r="AW61" s="43">
        <v>-796</v>
      </c>
      <c r="AX61" s="43">
        <v>9000</v>
      </c>
      <c r="AY61" s="43">
        <v>16467</v>
      </c>
      <c r="AZ61" s="31"/>
      <c r="BA61" s="31"/>
      <c r="BB61" s="3"/>
      <c r="BC61" s="3"/>
      <c r="BD61" s="3"/>
      <c r="BG61" s="3"/>
    </row>
    <row r="62" spans="1:59" ht="12.75" customHeight="1">
      <c r="A62" s="83"/>
      <c r="B62" s="7" t="s">
        <v>72</v>
      </c>
      <c r="C62" s="84">
        <v>122</v>
      </c>
      <c r="D62" s="30">
        <v>0.5520361990950227</v>
      </c>
      <c r="E62" s="89"/>
      <c r="F62" s="254"/>
      <c r="G62" s="254">
        <v>343</v>
      </c>
      <c r="H62" s="254">
        <v>340</v>
      </c>
      <c r="I62" s="353">
        <v>270</v>
      </c>
      <c r="J62" s="254">
        <v>265</v>
      </c>
      <c r="K62" s="254">
        <v>221</v>
      </c>
      <c r="L62" s="254">
        <v>189</v>
      </c>
      <c r="M62" s="353">
        <v>212</v>
      </c>
      <c r="N62" s="242">
        <v>278</v>
      </c>
      <c r="O62" s="254">
        <v>101</v>
      </c>
      <c r="P62" s="254">
        <v>2</v>
      </c>
      <c r="Q62" s="353">
        <v>55</v>
      </c>
      <c r="R62" s="242">
        <v>77</v>
      </c>
      <c r="S62" s="254">
        <v>45</v>
      </c>
      <c r="T62" s="254">
        <v>53</v>
      </c>
      <c r="U62" s="353">
        <v>45</v>
      </c>
      <c r="V62" s="254">
        <v>42</v>
      </c>
      <c r="W62" s="254">
        <v>13</v>
      </c>
      <c r="X62" s="254" t="e">
        <v>#REF!</v>
      </c>
      <c r="Y62" s="254" t="e">
        <v>#REF!</v>
      </c>
      <c r="Z62" s="254" t="e">
        <v>#REF!</v>
      </c>
      <c r="AA62" s="254" t="e">
        <v>#REF!</v>
      </c>
      <c r="AB62" s="353" t="e">
        <v>#REF!</v>
      </c>
      <c r="AC62" s="353" t="e">
        <v>#REF!</v>
      </c>
      <c r="AD62" s="424" t="e">
        <v>#REF!</v>
      </c>
      <c r="AE62" s="148" t="e">
        <v>#REF!</v>
      </c>
      <c r="AF62" s="148" t="e">
        <v>#REF!</v>
      </c>
      <c r="AG62" s="7" t="e">
        <v>#REF!</v>
      </c>
      <c r="AH62" s="148" t="e">
        <v>#REF!</v>
      </c>
      <c r="AI62" s="7" t="e">
        <v>#REF!</v>
      </c>
      <c r="AJ62" s="7" t="e">
        <v>#REF!</v>
      </c>
      <c r="AK62" s="148" t="e">
        <v>#REF!</v>
      </c>
      <c r="AL62" s="89"/>
      <c r="AM62" s="738">
        <v>953</v>
      </c>
      <c r="AN62" s="683">
        <v>622</v>
      </c>
      <c r="AO62" s="655">
        <v>331</v>
      </c>
      <c r="AP62" s="30">
        <v>0.5321543408360129</v>
      </c>
      <c r="AQ62" s="148"/>
      <c r="AR62" s="639">
        <v>887</v>
      </c>
      <c r="AS62" s="639">
        <v>436</v>
      </c>
      <c r="AT62" s="639">
        <v>220</v>
      </c>
      <c r="AU62" s="43">
        <v>70</v>
      </c>
      <c r="AV62" s="43">
        <v>248</v>
      </c>
      <c r="AW62" s="43">
        <v>610</v>
      </c>
      <c r="AX62" s="43">
        <v>171</v>
      </c>
      <c r="AY62" s="43">
        <v>2491</v>
      </c>
      <c r="AZ62" s="31"/>
      <c r="BA62" s="31"/>
      <c r="BB62" s="3"/>
      <c r="BC62" s="3"/>
      <c r="BD62" s="3"/>
      <c r="BG62" s="3"/>
    </row>
    <row r="63" spans="1:59" ht="12.75" customHeight="1">
      <c r="A63" s="193"/>
      <c r="B63" s="7" t="s">
        <v>73</v>
      </c>
      <c r="C63" s="84">
        <v>509</v>
      </c>
      <c r="D63" s="149" t="s">
        <v>44</v>
      </c>
      <c r="E63" s="608"/>
      <c r="F63" s="385"/>
      <c r="G63" s="385">
        <v>608</v>
      </c>
      <c r="H63" s="385">
        <v>297</v>
      </c>
      <c r="I63" s="486">
        <v>228</v>
      </c>
      <c r="J63" s="385">
        <v>135</v>
      </c>
      <c r="K63" s="385">
        <v>99</v>
      </c>
      <c r="L63" s="385">
        <v>8</v>
      </c>
      <c r="M63" s="486">
        <v>12</v>
      </c>
      <c r="N63" s="250">
        <v>1</v>
      </c>
      <c r="O63" s="385">
        <v>51</v>
      </c>
      <c r="P63" s="385">
        <v>310</v>
      </c>
      <c r="Q63" s="486">
        <v>11</v>
      </c>
      <c r="R63" s="250">
        <v>19</v>
      </c>
      <c r="S63" s="385">
        <v>-6</v>
      </c>
      <c r="T63" s="385">
        <v>-2</v>
      </c>
      <c r="U63" s="486">
        <v>7</v>
      </c>
      <c r="V63" s="254">
        <v>-11</v>
      </c>
      <c r="W63" s="254">
        <v>3</v>
      </c>
      <c r="X63" s="254" t="e">
        <v>#REF!</v>
      </c>
      <c r="Y63" s="254" t="e">
        <v>#REF!</v>
      </c>
      <c r="Z63" s="254" t="e">
        <v>#REF!</v>
      </c>
      <c r="AA63" s="385" t="e">
        <v>#REF!</v>
      </c>
      <c r="AB63" s="353" t="e">
        <v>#REF!</v>
      </c>
      <c r="AC63" s="353" t="e">
        <v>#REF!</v>
      </c>
      <c r="AD63" s="426" t="e">
        <v>#REF!</v>
      </c>
      <c r="AE63" s="15" t="e">
        <v>#REF!</v>
      </c>
      <c r="AF63" s="15" t="e">
        <v>#REF!</v>
      </c>
      <c r="AG63" s="15" t="e">
        <v>#REF!</v>
      </c>
      <c r="AH63" s="15" t="e">
        <v>#REF!</v>
      </c>
      <c r="AI63" s="15" t="e">
        <v>#REF!</v>
      </c>
      <c r="AJ63" s="15" t="e">
        <v>#REF!</v>
      </c>
      <c r="AK63" s="15" t="e">
        <v>#REF!</v>
      </c>
      <c r="AL63" s="89"/>
      <c r="AM63" s="738">
        <v>1133</v>
      </c>
      <c r="AN63" s="683">
        <v>119</v>
      </c>
      <c r="AO63" s="656">
        <v>1014</v>
      </c>
      <c r="AP63" s="30" t="s">
        <v>44</v>
      </c>
      <c r="AQ63" s="83"/>
      <c r="AR63" s="640">
        <v>254</v>
      </c>
      <c r="AS63" s="640">
        <v>373</v>
      </c>
      <c r="AT63" s="640">
        <v>18</v>
      </c>
      <c r="AU63" s="43">
        <v>236</v>
      </c>
      <c r="AV63" s="43">
        <v>-44</v>
      </c>
      <c r="AW63" s="43">
        <v>13</v>
      </c>
      <c r="AX63" s="43">
        <v>-3</v>
      </c>
      <c r="AY63" s="43">
        <v>885</v>
      </c>
      <c r="AZ63" s="31"/>
      <c r="BA63" s="31"/>
      <c r="BB63" s="3"/>
      <c r="BC63" s="3"/>
      <c r="BD63" s="3"/>
      <c r="BG63" s="3"/>
    </row>
    <row r="64" spans="1:59" ht="12.75" customHeight="1">
      <c r="A64" s="193"/>
      <c r="B64" s="7"/>
      <c r="C64" s="578">
        <v>8677</v>
      </c>
      <c r="D64" s="149">
        <v>1.1889558783228282</v>
      </c>
      <c r="E64" s="24"/>
      <c r="F64" s="383"/>
      <c r="G64" s="383">
        <v>15975</v>
      </c>
      <c r="H64" s="383">
        <v>8491</v>
      </c>
      <c r="I64" s="581">
        <v>4864</v>
      </c>
      <c r="J64" s="383">
        <v>6425</v>
      </c>
      <c r="K64" s="383">
        <v>7298</v>
      </c>
      <c r="L64" s="383">
        <v>6157</v>
      </c>
      <c r="M64" s="581">
        <v>5407</v>
      </c>
      <c r="N64" s="383">
        <v>3713</v>
      </c>
      <c r="O64" s="383">
        <v>6694</v>
      </c>
      <c r="P64" s="383">
        <v>-167</v>
      </c>
      <c r="Q64" s="581">
        <v>252</v>
      </c>
      <c r="R64" s="383">
        <v>603</v>
      </c>
      <c r="S64" s="383">
        <v>416</v>
      </c>
      <c r="T64" s="383">
        <v>361</v>
      </c>
      <c r="U64" s="581">
        <v>-152</v>
      </c>
      <c r="V64" s="383">
        <v>3494</v>
      </c>
      <c r="W64" s="383">
        <v>333</v>
      </c>
      <c r="X64" s="383" t="e">
        <v>#REF!</v>
      </c>
      <c r="Y64" s="581" t="e">
        <v>#REF!</v>
      </c>
      <c r="Z64" s="382" t="e">
        <v>#REF!</v>
      </c>
      <c r="AA64" s="383" t="e">
        <v>#REF!</v>
      </c>
      <c r="AB64" s="581" t="e">
        <v>#REF!</v>
      </c>
      <c r="AC64" s="581" t="e">
        <v>#REF!</v>
      </c>
      <c r="AD64" s="581" t="e">
        <v>#REF!</v>
      </c>
      <c r="AE64" s="2" t="e">
        <v>#REF!</v>
      </c>
      <c r="AF64" s="2" t="e">
        <v>#REF!</v>
      </c>
      <c r="AG64" s="2" t="e">
        <v>#REF!</v>
      </c>
      <c r="AH64" s="2" t="e">
        <v>#REF!</v>
      </c>
      <c r="AI64" s="2" t="e">
        <v>#REF!</v>
      </c>
      <c r="AJ64" s="2" t="e">
        <v>#REF!</v>
      </c>
      <c r="AK64" s="2" t="e">
        <v>#REF!</v>
      </c>
      <c r="AL64" s="24"/>
      <c r="AM64" s="737">
        <v>29330</v>
      </c>
      <c r="AN64" s="583">
        <v>18862</v>
      </c>
      <c r="AO64" s="657">
        <v>10468</v>
      </c>
      <c r="AP64" s="170">
        <v>0.5549782631746368</v>
      </c>
      <c r="AR64" s="641">
        <v>25287</v>
      </c>
      <c r="AS64" s="641">
        <v>10492</v>
      </c>
      <c r="AT64" s="641">
        <v>1228</v>
      </c>
      <c r="AU64" s="382">
        <v>5894</v>
      </c>
      <c r="AV64" s="580">
        <v>6781</v>
      </c>
      <c r="AW64" s="584">
        <v>9937</v>
      </c>
      <c r="AX64" s="584">
        <v>15897</v>
      </c>
      <c r="AY64" s="173">
        <v>125900</v>
      </c>
      <c r="AZ64" s="31"/>
      <c r="BA64" s="31"/>
      <c r="BB64" s="3"/>
      <c r="BC64" s="3"/>
      <c r="BD64" s="3"/>
      <c r="BG64" s="3"/>
    </row>
    <row r="65" spans="2:56" ht="12.75" customHeight="1">
      <c r="B65" s="13"/>
      <c r="C65" s="255"/>
      <c r="D65" s="255"/>
      <c r="E65" s="255"/>
      <c r="F65" s="255"/>
      <c r="G65" s="255"/>
      <c r="H65" s="255"/>
      <c r="I65" s="2"/>
      <c r="J65" s="255"/>
      <c r="K65" s="255"/>
      <c r="L65" s="255"/>
      <c r="M65" s="2"/>
      <c r="N65" s="255"/>
      <c r="O65" s="255"/>
      <c r="P65" s="255"/>
      <c r="Q65" s="2"/>
      <c r="R65" s="255"/>
      <c r="S65" s="255"/>
      <c r="T65" s="255"/>
      <c r="U65" s="2"/>
      <c r="V65" s="255"/>
      <c r="W65" s="255"/>
      <c r="X65" s="255"/>
      <c r="Y65" s="2"/>
      <c r="Z65" s="255"/>
      <c r="AA65" s="255"/>
      <c r="AB65" s="255"/>
      <c r="AC65" s="2"/>
      <c r="AG65" s="2"/>
      <c r="AI65" s="2"/>
      <c r="AJ65" s="2"/>
      <c r="AK65" s="256"/>
      <c r="AL65" s="243"/>
      <c r="AM65" s="243"/>
      <c r="AN65" s="243"/>
      <c r="AO65" s="243"/>
      <c r="AP65" s="243"/>
      <c r="AQ65" s="245"/>
      <c r="AR65" s="243"/>
      <c r="AS65" s="243"/>
      <c r="AT65" s="243"/>
      <c r="AU65" s="245"/>
      <c r="AV65" s="245"/>
      <c r="BB65" s="3"/>
      <c r="BC65" s="3"/>
      <c r="BD65" s="3"/>
    </row>
    <row r="66" ht="12.75">
      <c r="A66" s="7" t="s">
        <v>30</v>
      </c>
    </row>
    <row r="67" spans="3:56" ht="12.75">
      <c r="C67" s="83"/>
      <c r="D67" s="83"/>
      <c r="E67" s="148"/>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642"/>
      <c r="AP67" s="642"/>
      <c r="AQ67" s="213"/>
      <c r="AR67" s="642"/>
      <c r="AS67" s="642"/>
      <c r="AT67" s="642"/>
      <c r="AU67" s="213"/>
      <c r="AV67" s="213"/>
      <c r="AW67" s="213"/>
      <c r="AX67" s="213"/>
      <c r="AY67" s="213"/>
      <c r="BB67" s="3"/>
      <c r="BC67" s="3"/>
      <c r="BD67" s="3"/>
    </row>
    <row r="68" spans="1:20" ht="12.75">
      <c r="A68" s="7" t="s">
        <v>405</v>
      </c>
      <c r="B68" s="3"/>
      <c r="C68" s="243"/>
      <c r="D68" s="243"/>
      <c r="E68" s="243"/>
      <c r="F68" s="32"/>
      <c r="G68" s="32"/>
      <c r="H68" s="32"/>
      <c r="I68" s="32"/>
      <c r="J68" s="32"/>
      <c r="K68" s="32"/>
      <c r="L68" s="32"/>
      <c r="M68" s="32"/>
      <c r="N68" s="32"/>
      <c r="O68" s="32"/>
      <c r="P68" s="32"/>
      <c r="Q68" s="32"/>
      <c r="R68" s="32"/>
      <c r="S68" s="32"/>
      <c r="T68" s="32"/>
    </row>
    <row r="69" spans="3:50" ht="12.75">
      <c r="C69" s="83"/>
      <c r="D69" s="83"/>
      <c r="E69" s="148"/>
      <c r="F69" s="148"/>
      <c r="G69" s="148"/>
      <c r="H69" s="148"/>
      <c r="I69"/>
      <c r="J69" s="148"/>
      <c r="K69" s="148"/>
      <c r="L69" s="148"/>
      <c r="M69"/>
      <c r="N69" s="148"/>
      <c r="O69" s="148"/>
      <c r="P69" s="148"/>
      <c r="Q69"/>
      <c r="R69" s="148"/>
      <c r="S69" s="148"/>
      <c r="T69" s="148"/>
      <c r="U69"/>
      <c r="V69" s="148"/>
      <c r="W69" s="148"/>
      <c r="X69" s="148"/>
      <c r="Y69"/>
      <c r="Z69" s="148"/>
      <c r="AA69" s="148"/>
      <c r="AB69" s="148"/>
      <c r="AK69" s="31"/>
      <c r="AL69" s="148"/>
      <c r="AM69" s="148"/>
      <c r="AN69" s="148"/>
      <c r="AO69" s="633"/>
      <c r="AP69" s="633"/>
      <c r="AQ69" s="83"/>
      <c r="AR69" s="633"/>
      <c r="AS69" s="633"/>
      <c r="AT69" s="633"/>
      <c r="AU69" s="83"/>
      <c r="AV69" s="83"/>
      <c r="AX69" s="31"/>
    </row>
    <row r="70" spans="3:50" ht="12.75">
      <c r="C70" s="83"/>
      <c r="D70" s="83"/>
      <c r="E70" s="148"/>
      <c r="F70" s="148"/>
      <c r="G70" s="148"/>
      <c r="H70" s="148"/>
      <c r="I70"/>
      <c r="J70" s="148"/>
      <c r="K70" s="148"/>
      <c r="L70" s="610"/>
      <c r="M70"/>
      <c r="N70" s="148"/>
      <c r="O70" s="148"/>
      <c r="P70" s="148"/>
      <c r="Q70"/>
      <c r="R70" s="148"/>
      <c r="S70" s="148"/>
      <c r="T70" s="148"/>
      <c r="U70"/>
      <c r="V70" s="148"/>
      <c r="W70" s="148"/>
      <c r="X70" s="148"/>
      <c r="Y70"/>
      <c r="Z70" s="148"/>
      <c r="AA70" s="148"/>
      <c r="AB70" s="148"/>
      <c r="AK70" s="31"/>
      <c r="AL70" s="148"/>
      <c r="AM70" s="148"/>
      <c r="AN70" s="148"/>
      <c r="AO70" s="106"/>
      <c r="AP70" s="106"/>
      <c r="AQ70" s="83"/>
      <c r="AR70" s="633"/>
      <c r="AS70" s="633"/>
      <c r="AT70" s="633"/>
      <c r="AU70" s="83"/>
      <c r="AV70" s="83"/>
      <c r="AX70" s="7"/>
    </row>
    <row r="71" spans="9:52" ht="12.75">
      <c r="I71"/>
      <c r="M71"/>
      <c r="N71" s="148"/>
      <c r="Q71"/>
      <c r="U71"/>
      <c r="Y71"/>
      <c r="AK71" s="11"/>
      <c r="AL71" s="3"/>
      <c r="AM71" s="3"/>
      <c r="AN71" s="3"/>
      <c r="AR71" s="626"/>
      <c r="AS71" s="626"/>
      <c r="AT71" s="626"/>
      <c r="AX71" s="32"/>
      <c r="AZ71" s="31"/>
    </row>
    <row r="72" spans="9:52" ht="12.75">
      <c r="I72"/>
      <c r="M72"/>
      <c r="N72" s="148"/>
      <c r="Q72"/>
      <c r="U72"/>
      <c r="Y72"/>
      <c r="AK72" s="33"/>
      <c r="AL72" s="3"/>
      <c r="AM72" s="3"/>
      <c r="AN72" s="3"/>
      <c r="AR72" s="626"/>
      <c r="AS72" s="626"/>
      <c r="AT72" s="626"/>
      <c r="AX72" s="2"/>
      <c r="AZ72" s="357"/>
    </row>
    <row r="73" spans="9:50" ht="12.75">
      <c r="I73"/>
      <c r="M73"/>
      <c r="N73" s="148"/>
      <c r="Q73"/>
      <c r="U73"/>
      <c r="Y73"/>
      <c r="AK73" s="152"/>
      <c r="AL73" s="3"/>
      <c r="AM73" s="3"/>
      <c r="AN73" s="3"/>
      <c r="AR73" s="626"/>
      <c r="AS73" s="626"/>
      <c r="AT73" s="626"/>
      <c r="AX73" s="2"/>
    </row>
    <row r="74" spans="9:50" ht="12.75">
      <c r="I74"/>
      <c r="M74"/>
      <c r="N74" s="148"/>
      <c r="Q74"/>
      <c r="U74"/>
      <c r="Y74"/>
      <c r="AK74" s="2"/>
      <c r="AL74" s="3"/>
      <c r="AM74" s="3"/>
      <c r="AN74" s="3"/>
      <c r="AR74" s="626"/>
      <c r="AS74" s="626"/>
      <c r="AT74" s="626"/>
      <c r="AX74" s="32"/>
    </row>
    <row r="75" spans="14:56" ht="12.75">
      <c r="N75" s="148"/>
      <c r="U75" s="32">
        <v>0</v>
      </c>
      <c r="V75" s="32">
        <v>0</v>
      </c>
      <c r="W75" s="32">
        <v>0</v>
      </c>
      <c r="X75" s="32" t="e">
        <v>#REF!</v>
      </c>
      <c r="Y75" s="32" t="e">
        <v>#REF!</v>
      </c>
      <c r="Z75" s="32" t="e">
        <v>#REF!</v>
      </c>
      <c r="AA75" s="32" t="e">
        <v>#REF!</v>
      </c>
      <c r="AB75" s="32" t="e">
        <v>#REF!</v>
      </c>
      <c r="AC75" s="32" t="e">
        <v>#REF!</v>
      </c>
      <c r="AD75" s="32" t="e">
        <v>#REF!</v>
      </c>
      <c r="AE75" s="32" t="e">
        <v>#REF!</v>
      </c>
      <c r="AF75" s="32" t="e">
        <v>#REF!</v>
      </c>
      <c r="AG75" s="32" t="e">
        <v>#REF!</v>
      </c>
      <c r="AH75" s="32" t="e">
        <v>#REF!</v>
      </c>
      <c r="AI75" s="32" t="e">
        <v>#REF!</v>
      </c>
      <c r="AJ75" s="32" t="e">
        <v>#REF!</v>
      </c>
      <c r="AK75" s="32" t="e">
        <v>#REF!</v>
      </c>
      <c r="AL75" s="32"/>
      <c r="AM75" s="32"/>
      <c r="AN75" s="32"/>
      <c r="AO75" s="632">
        <v>0</v>
      </c>
      <c r="AP75" s="632">
        <v>0</v>
      </c>
      <c r="AQ75" s="32"/>
      <c r="AR75" s="632"/>
      <c r="AS75" s="632"/>
      <c r="AT75" s="632">
        <v>0</v>
      </c>
      <c r="AU75" s="32">
        <v>0</v>
      </c>
      <c r="AV75" s="32">
        <v>0</v>
      </c>
      <c r="AW75" s="32">
        <v>0</v>
      </c>
      <c r="AX75" s="32">
        <v>0</v>
      </c>
      <c r="AY75" s="32">
        <v>0</v>
      </c>
      <c r="BB75" s="3"/>
      <c r="BC75" s="3"/>
      <c r="BD75" s="3"/>
    </row>
    <row r="76" spans="9:50" ht="12.75">
      <c r="I76"/>
      <c r="M76"/>
      <c r="N76" s="148"/>
      <c r="Q76"/>
      <c r="U76"/>
      <c r="Y76"/>
      <c r="AK76" s="32"/>
      <c r="AL76" s="3"/>
      <c r="AM76" s="3"/>
      <c r="AN76" s="3"/>
      <c r="AR76" s="626"/>
      <c r="AS76" s="626"/>
      <c r="AT76" s="626"/>
      <c r="AX76" s="11"/>
    </row>
    <row r="77" spans="9:50" ht="12.75">
      <c r="I77"/>
      <c r="M77"/>
      <c r="Q77"/>
      <c r="U77"/>
      <c r="Y77"/>
      <c r="AK77" s="41"/>
      <c r="AL77" s="3"/>
      <c r="AM77" s="3"/>
      <c r="AN77" s="3"/>
      <c r="AR77" s="626"/>
      <c r="AS77" s="626"/>
      <c r="AT77" s="626"/>
      <c r="AX77" s="35"/>
    </row>
    <row r="78" spans="9:50" ht="12.75">
      <c r="I78"/>
      <c r="M78"/>
      <c r="Q78"/>
      <c r="U78"/>
      <c r="Y78"/>
      <c r="AK78" s="41"/>
      <c r="AL78" s="3"/>
      <c r="AM78" s="3"/>
      <c r="AN78" s="3"/>
      <c r="AR78" s="626"/>
      <c r="AS78" s="626"/>
      <c r="AT78" s="626"/>
      <c r="AX78" s="35"/>
    </row>
    <row r="79" spans="9:50" ht="12.75">
      <c r="I79"/>
      <c r="M79"/>
      <c r="Q79"/>
      <c r="U79"/>
      <c r="Y79"/>
      <c r="AK79" s="41"/>
      <c r="AL79" s="3"/>
      <c r="AM79" s="3"/>
      <c r="AN79" s="3"/>
      <c r="AR79" s="626"/>
      <c r="AS79" s="626"/>
      <c r="AT79" s="626"/>
      <c r="AX79" s="35"/>
    </row>
    <row r="80" spans="9:50" ht="12.75">
      <c r="I80"/>
      <c r="M80"/>
      <c r="Q80"/>
      <c r="U80"/>
      <c r="Y80"/>
      <c r="AK80" s="35"/>
      <c r="AL80" s="3"/>
      <c r="AM80" s="3"/>
      <c r="AN80" s="3"/>
      <c r="AR80" s="626"/>
      <c r="AS80" s="626"/>
      <c r="AT80" s="626"/>
      <c r="AX80" s="36"/>
    </row>
    <row r="81" spans="9:50" ht="12.75">
      <c r="I81"/>
      <c r="M81"/>
      <c r="Q81"/>
      <c r="U81"/>
      <c r="Y81"/>
      <c r="AK81" s="36"/>
      <c r="AL81" s="3"/>
      <c r="AM81" s="3"/>
      <c r="AN81" s="3"/>
      <c r="AR81" s="626"/>
      <c r="AS81" s="626"/>
      <c r="AT81" s="626"/>
      <c r="AW81" s="36"/>
      <c r="AX81" s="36"/>
    </row>
    <row r="82" spans="9:50" ht="12.75">
      <c r="I82"/>
      <c r="M82"/>
      <c r="Q82"/>
      <c r="U82"/>
      <c r="Y82"/>
      <c r="AK82" s="36"/>
      <c r="AL82" s="3"/>
      <c r="AM82" s="3"/>
      <c r="AN82" s="3"/>
      <c r="AR82" s="626"/>
      <c r="AS82" s="626"/>
      <c r="AT82" s="626"/>
      <c r="AW82" s="3"/>
      <c r="AX82" s="3"/>
    </row>
    <row r="83" spans="9:50" ht="12.75">
      <c r="I83"/>
      <c r="M83"/>
      <c r="Q83"/>
      <c r="U83"/>
      <c r="Y83"/>
      <c r="AK83" s="3"/>
      <c r="AL83" s="3"/>
      <c r="AM83" s="3"/>
      <c r="AN83" s="3"/>
      <c r="AR83" s="626"/>
      <c r="AS83" s="626"/>
      <c r="AT83" s="626"/>
      <c r="AW83" s="3"/>
      <c r="AX83" s="3"/>
    </row>
    <row r="84" spans="9:50" ht="12.75">
      <c r="I84"/>
      <c r="M84"/>
      <c r="Q84"/>
      <c r="U84"/>
      <c r="Y84"/>
      <c r="AK84" s="3"/>
      <c r="AL84" s="3"/>
      <c r="AM84" s="3"/>
      <c r="AN84" s="3"/>
      <c r="AR84" s="626"/>
      <c r="AS84" s="626"/>
      <c r="AT84" s="626"/>
      <c r="AW84" s="3"/>
      <c r="AX84" s="3"/>
    </row>
    <row r="85" spans="9:50" ht="12.75">
      <c r="I85"/>
      <c r="M85"/>
      <c r="Q85"/>
      <c r="U85"/>
      <c r="Y85"/>
      <c r="AK85" s="3"/>
      <c r="AL85" s="3"/>
      <c r="AM85" s="3"/>
      <c r="AN85" s="3"/>
      <c r="AR85" s="626"/>
      <c r="AS85" s="626"/>
      <c r="AT85" s="626"/>
      <c r="AW85" s="3"/>
      <c r="AX85" s="3"/>
    </row>
    <row r="86" spans="9:50" ht="12.75">
      <c r="I86"/>
      <c r="M86"/>
      <c r="Q86"/>
      <c r="U86"/>
      <c r="Y86"/>
      <c r="AK86" s="3"/>
      <c r="AL86" s="3"/>
      <c r="AM86" s="3"/>
      <c r="AN86" s="3"/>
      <c r="AR86" s="626"/>
      <c r="AS86" s="626"/>
      <c r="AT86" s="626"/>
      <c r="AW86" s="3"/>
      <c r="AX86" s="3"/>
    </row>
    <row r="87" spans="9:46" ht="12.75">
      <c r="I87"/>
      <c r="M87"/>
      <c r="Q87"/>
      <c r="U87"/>
      <c r="Y87"/>
      <c r="AK87" s="3"/>
      <c r="AL87" s="3"/>
      <c r="AM87" s="3"/>
      <c r="AN87" s="3"/>
      <c r="AR87" s="626"/>
      <c r="AS87" s="626"/>
      <c r="AT87" s="626"/>
    </row>
    <row r="88" spans="9:25" ht="12.75">
      <c r="I88"/>
      <c r="M88"/>
      <c r="Q88"/>
      <c r="U88"/>
      <c r="Y88"/>
    </row>
  </sheetData>
  <sheetProtection/>
  <mergeCells count="11">
    <mergeCell ref="C11:D11"/>
    <mergeCell ref="C12:D12"/>
    <mergeCell ref="AO12:AP12"/>
    <mergeCell ref="A32:B32"/>
    <mergeCell ref="A34:B34"/>
    <mergeCell ref="C49:D49"/>
    <mergeCell ref="AO49:AP49"/>
    <mergeCell ref="C56:D56"/>
    <mergeCell ref="C57:D57"/>
    <mergeCell ref="AO57:AP57"/>
    <mergeCell ref="C48:D48"/>
  </mergeCells>
  <printOptions horizontalCentered="1"/>
  <pageMargins left="0.3" right="0.3" top="0.4" bottom="0.6" header="0" footer="0.3"/>
  <pageSetup fitToHeight="1" fitToWidth="1" horizontalDpi="600" verticalDpi="600" orientation="landscape" scale="54" r:id="rId2"/>
  <headerFooter alignWithMargins="0">
    <oddFooter>&amp;CPage 7</oddFooter>
  </headerFooter>
  <colBreaks count="1" manualBreakCount="1">
    <brk id="5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Grisdale</dc:creator>
  <cp:keywords/>
  <dc:description/>
  <cp:lastModifiedBy>Lee, Carol</cp:lastModifiedBy>
  <cp:lastPrinted>2014-02-05T19:44:29Z</cp:lastPrinted>
  <dcterms:created xsi:type="dcterms:W3CDTF">2008-06-18T15:17:32Z</dcterms:created>
  <dcterms:modified xsi:type="dcterms:W3CDTF">2014-02-05T19:50:40Z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